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20" windowWidth="20730" windowHeight="11760" activeTab="2"/>
  </bookViews>
  <sheets>
    <sheet name="2a.D.c NTM (16-20)" sheetId="5" r:id="rId1"/>
    <sheet name="2b. Dc 30a+275 (16-20)" sheetId="1" r:id="rId2"/>
    <sheet name="2c. Dc ct 135 (16-20) (2)" sheetId="4" r:id="rId3"/>
  </sheets>
  <definedNames>
    <definedName name="_xlnm.Print_Area" localSheetId="0">'2a.D.c NTM (16-20)'!$A$1:$AW$635</definedName>
    <definedName name="_xlnm.Print_Area" localSheetId="1">'2b. Dc 30a+275 (16-20)'!$A$1:$AW$290</definedName>
    <definedName name="_xlnm.Print_Area" localSheetId="2">'2c. Dc ct 135 (16-20) (2)'!$A$1:$AW$342</definedName>
    <definedName name="_xlnm.Print_Titles" localSheetId="0">'2a.D.c NTM (16-20)'!$6:$12</definedName>
    <definedName name="_xlnm.Print_Titles" localSheetId="1">'2b. Dc 30a+275 (16-20)'!$6:$12</definedName>
    <definedName name="_xlnm.Print_Titles" localSheetId="2">'2c. Dc ct 135 (16-20) (2)'!$6:$12</definedName>
  </definedNames>
  <calcPr calcId="144525"/>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V633" i="5" l="1"/>
  <c r="AU633" i="5"/>
  <c r="AT633" i="5"/>
  <c r="AS633" i="5"/>
  <c r="AR633" i="5"/>
  <c r="AQ633" i="5"/>
  <c r="AV631" i="5"/>
  <c r="AU631" i="5"/>
  <c r="AU630" i="5" s="1"/>
  <c r="AU629" i="5" s="1"/>
  <c r="AT631" i="5"/>
  <c r="AS631" i="5"/>
  <c r="AS630" i="5" s="1"/>
  <c r="AS629" i="5" s="1"/>
  <c r="AR631" i="5"/>
  <c r="AQ631" i="5"/>
  <c r="AV630" i="5"/>
  <c r="AV629" i="5" s="1"/>
  <c r="AT630" i="5"/>
  <c r="AR630" i="5"/>
  <c r="AQ630" i="5"/>
  <c r="AT629" i="5"/>
  <c r="AR629" i="5"/>
  <c r="AQ629" i="5"/>
  <c r="AV624" i="5"/>
  <c r="AU624" i="5"/>
  <c r="AT624" i="5"/>
  <c r="AS624" i="5"/>
  <c r="AR624" i="5"/>
  <c r="AQ624" i="5"/>
  <c r="AV618" i="5"/>
  <c r="AU618" i="5"/>
  <c r="AT618" i="5"/>
  <c r="AS618" i="5"/>
  <c r="AR618" i="5"/>
  <c r="AQ618" i="5"/>
  <c r="AV616" i="5"/>
  <c r="AU616" i="5"/>
  <c r="AT616" i="5"/>
  <c r="AS616" i="5"/>
  <c r="AR616" i="5"/>
  <c r="AQ616" i="5"/>
  <c r="AV603" i="5"/>
  <c r="AU603" i="5"/>
  <c r="AT603" i="5"/>
  <c r="AS603" i="5"/>
  <c r="AS602" i="5" s="1"/>
  <c r="AR603" i="5"/>
  <c r="AQ603" i="5"/>
  <c r="AQ602" i="5" s="1"/>
  <c r="AQ601" i="5" s="1"/>
  <c r="AT602" i="5"/>
  <c r="AT601" i="5" s="1"/>
  <c r="AL598" i="5"/>
  <c r="AK598" i="5"/>
  <c r="AL597" i="5"/>
  <c r="AK597" i="5"/>
  <c r="AL596" i="5"/>
  <c r="AK596" i="5"/>
  <c r="AL595" i="5"/>
  <c r="AK595" i="5"/>
  <c r="AL594" i="5"/>
  <c r="AK594" i="5"/>
  <c r="AL593" i="5"/>
  <c r="AK593" i="5"/>
  <c r="AL592" i="5"/>
  <c r="AK592" i="5"/>
  <c r="AV591" i="5"/>
  <c r="AU591" i="5"/>
  <c r="AT591" i="5"/>
  <c r="AS591" i="5"/>
  <c r="AS590" i="5" s="1"/>
  <c r="AR591" i="5"/>
  <c r="AQ591" i="5"/>
  <c r="AQ590" i="5" s="1"/>
  <c r="AP591" i="5"/>
  <c r="AO591" i="5"/>
  <c r="AN591" i="5"/>
  <c r="AM591" i="5"/>
  <c r="AL591" i="5"/>
  <c r="AK591" i="5"/>
  <c r="AK590" i="5" s="1"/>
  <c r="AJ591" i="5"/>
  <c r="AI591" i="5"/>
  <c r="AI590" i="5" s="1"/>
  <c r="AH591" i="5"/>
  <c r="AG591" i="5"/>
  <c r="AF591" i="5"/>
  <c r="AE591" i="5"/>
  <c r="AD591" i="5"/>
  <c r="AC591" i="5"/>
  <c r="AC590" i="5" s="1"/>
  <c r="AB591" i="5"/>
  <c r="AA591" i="5"/>
  <c r="AA590" i="5" s="1"/>
  <c r="Z591" i="5"/>
  <c r="Y591" i="5"/>
  <c r="X591" i="5"/>
  <c r="W591" i="5"/>
  <c r="V591" i="5"/>
  <c r="U591" i="5"/>
  <c r="U590" i="5" s="1"/>
  <c r="T591" i="5"/>
  <c r="S591" i="5"/>
  <c r="S590" i="5" s="1"/>
  <c r="R591" i="5"/>
  <c r="Q591" i="5"/>
  <c r="P591" i="5"/>
  <c r="O591" i="5"/>
  <c r="N591" i="5"/>
  <c r="M591" i="5"/>
  <c r="M590" i="5" s="1"/>
  <c r="L591" i="5"/>
  <c r="K591" i="5"/>
  <c r="K590" i="5" s="1"/>
  <c r="J591" i="5"/>
  <c r="I591" i="5"/>
  <c r="H591" i="5"/>
  <c r="G591" i="5"/>
  <c r="AV590" i="5"/>
  <c r="AU590" i="5"/>
  <c r="AT590" i="5"/>
  <c r="AR590" i="5"/>
  <c r="AP590" i="5"/>
  <c r="AO590" i="5"/>
  <c r="AN590" i="5"/>
  <c r="AM590" i="5"/>
  <c r="AL590" i="5"/>
  <c r="AJ590" i="5"/>
  <c r="AH590" i="5"/>
  <c r="AG590" i="5"/>
  <c r="AF590" i="5"/>
  <c r="AE590" i="5"/>
  <c r="AD590" i="5"/>
  <c r="AB590" i="5"/>
  <c r="Z590" i="5"/>
  <c r="Y590" i="5"/>
  <c r="X590" i="5"/>
  <c r="W590" i="5"/>
  <c r="V590" i="5"/>
  <c r="T590" i="5"/>
  <c r="R590" i="5"/>
  <c r="Q590" i="5"/>
  <c r="P590" i="5"/>
  <c r="O590" i="5"/>
  <c r="N590" i="5"/>
  <c r="L590" i="5"/>
  <c r="J590" i="5"/>
  <c r="I590" i="5"/>
  <c r="H590" i="5"/>
  <c r="G590" i="5"/>
  <c r="AL589" i="5"/>
  <c r="AK589" i="5"/>
  <c r="AL588" i="5"/>
  <c r="AK588" i="5"/>
  <c r="AL587" i="5"/>
  <c r="AK587" i="5"/>
  <c r="AV586" i="5"/>
  <c r="AU586" i="5"/>
  <c r="AU585" i="5" s="1"/>
  <c r="AT586" i="5"/>
  <c r="AS586" i="5"/>
  <c r="AS585" i="5" s="1"/>
  <c r="AR586" i="5"/>
  <c r="AQ586" i="5"/>
  <c r="AP586" i="5"/>
  <c r="AO586" i="5"/>
  <c r="AN586" i="5"/>
  <c r="AM586" i="5"/>
  <c r="AM585" i="5" s="1"/>
  <c r="AK586" i="5"/>
  <c r="AK585" i="5" s="1"/>
  <c r="AJ586" i="5"/>
  <c r="AI586" i="5"/>
  <c r="AH586" i="5"/>
  <c r="AG586" i="5"/>
  <c r="AF586" i="5"/>
  <c r="AE586" i="5"/>
  <c r="AE585" i="5" s="1"/>
  <c r="AD586" i="5"/>
  <c r="AC586" i="5"/>
  <c r="AC585" i="5" s="1"/>
  <c r="AB586" i="5"/>
  <c r="AA586" i="5"/>
  <c r="Z586" i="5"/>
  <c r="Y586" i="5"/>
  <c r="X586" i="5"/>
  <c r="W586" i="5"/>
  <c r="W585" i="5" s="1"/>
  <c r="V586" i="5"/>
  <c r="U586" i="5"/>
  <c r="U585" i="5" s="1"/>
  <c r="T586" i="5"/>
  <c r="S586" i="5"/>
  <c r="R586" i="5"/>
  <c r="Q586" i="5"/>
  <c r="P586" i="5"/>
  <c r="O586" i="5"/>
  <c r="O585" i="5" s="1"/>
  <c r="N586" i="5"/>
  <c r="M586" i="5"/>
  <c r="M585" i="5" s="1"/>
  <c r="L586" i="5"/>
  <c r="K586" i="5"/>
  <c r="J586" i="5"/>
  <c r="I586" i="5"/>
  <c r="H586" i="5"/>
  <c r="G586" i="5"/>
  <c r="G585" i="5" s="1"/>
  <c r="AV585" i="5"/>
  <c r="AT585" i="5"/>
  <c r="AR585" i="5"/>
  <c r="AQ585" i="5"/>
  <c r="AP585" i="5"/>
  <c r="AO585" i="5"/>
  <c r="AN585" i="5"/>
  <c r="AJ585" i="5"/>
  <c r="AI585" i="5"/>
  <c r="AH585" i="5"/>
  <c r="AG585" i="5"/>
  <c r="AF585" i="5"/>
  <c r="AD585" i="5"/>
  <c r="AB585" i="5"/>
  <c r="AA585" i="5"/>
  <c r="Z585" i="5"/>
  <c r="Y585" i="5"/>
  <c r="X585" i="5"/>
  <c r="V585" i="5"/>
  <c r="T585" i="5"/>
  <c r="S585" i="5"/>
  <c r="R585" i="5"/>
  <c r="Q585" i="5"/>
  <c r="P585" i="5"/>
  <c r="N585" i="5"/>
  <c r="L585" i="5"/>
  <c r="K585" i="5"/>
  <c r="J585" i="5"/>
  <c r="I585" i="5"/>
  <c r="H585" i="5"/>
  <c r="AL584" i="5"/>
  <c r="AK584" i="5"/>
  <c r="AJ584" i="5"/>
  <c r="AI584" i="5"/>
  <c r="AI546" i="5" s="1"/>
  <c r="AI544" i="5" s="1"/>
  <c r="AH584" i="5"/>
  <c r="AG584" i="5"/>
  <c r="AG546" i="5" s="1"/>
  <c r="AG544" i="5" s="1"/>
  <c r="AF584" i="5"/>
  <c r="AE584" i="5"/>
  <c r="AE546" i="5" s="1"/>
  <c r="AE544" i="5" s="1"/>
  <c r="AD584" i="5"/>
  <c r="AC584" i="5"/>
  <c r="AB584" i="5"/>
  <c r="AA584" i="5"/>
  <c r="AA546" i="5" s="1"/>
  <c r="AA544" i="5" s="1"/>
  <c r="Z584" i="5"/>
  <c r="Y584" i="5"/>
  <c r="Y546" i="5" s="1"/>
  <c r="Y544" i="5" s="1"/>
  <c r="X584" i="5"/>
  <c r="W584" i="5"/>
  <c r="W546" i="5" s="1"/>
  <c r="W544" i="5" s="1"/>
  <c r="V584" i="5"/>
  <c r="U584" i="5"/>
  <c r="T584" i="5"/>
  <c r="S584" i="5"/>
  <c r="S546" i="5" s="1"/>
  <c r="S544" i="5" s="1"/>
  <c r="R584" i="5"/>
  <c r="Q584" i="5"/>
  <c r="Q546" i="5" s="1"/>
  <c r="Q544" i="5" s="1"/>
  <c r="P584" i="5"/>
  <c r="AL580" i="5"/>
  <c r="AK580" i="5"/>
  <c r="AL579" i="5"/>
  <c r="AK579" i="5"/>
  <c r="AL578" i="5"/>
  <c r="AK578" i="5"/>
  <c r="AL577" i="5"/>
  <c r="AK577" i="5"/>
  <c r="AL576" i="5"/>
  <c r="AK576" i="5"/>
  <c r="AL575" i="5"/>
  <c r="AK575" i="5"/>
  <c r="AL574" i="5"/>
  <c r="AK574" i="5"/>
  <c r="AL573" i="5"/>
  <c r="AK573" i="5"/>
  <c r="AL572" i="5"/>
  <c r="AK572" i="5"/>
  <c r="AL571" i="5"/>
  <c r="AK571" i="5"/>
  <c r="AL570" i="5"/>
  <c r="AK570" i="5"/>
  <c r="AL569" i="5"/>
  <c r="AK569" i="5"/>
  <c r="AL568" i="5"/>
  <c r="AK568" i="5"/>
  <c r="AL567" i="5"/>
  <c r="AK567" i="5"/>
  <c r="AL566" i="5"/>
  <c r="AK566" i="5"/>
  <c r="AL565" i="5"/>
  <c r="AK565" i="5"/>
  <c r="AL564" i="5"/>
  <c r="AK564" i="5"/>
  <c r="AL563" i="5"/>
  <c r="AK563" i="5"/>
  <c r="AL562" i="5"/>
  <c r="AK562" i="5"/>
  <c r="AL561" i="5"/>
  <c r="AK561" i="5"/>
  <c r="AL560" i="5"/>
  <c r="AK560" i="5"/>
  <c r="AL559" i="5"/>
  <c r="AK559" i="5"/>
  <c r="AL558" i="5"/>
  <c r="AK558" i="5"/>
  <c r="AL557" i="5"/>
  <c r="AK557" i="5"/>
  <c r="AL556" i="5"/>
  <c r="AK556" i="5"/>
  <c r="AL555" i="5"/>
  <c r="AK555" i="5"/>
  <c r="AL554" i="5"/>
  <c r="AK554" i="5"/>
  <c r="AL553" i="5"/>
  <c r="AK553" i="5"/>
  <c r="AL552" i="5"/>
  <c r="AK552" i="5"/>
  <c r="AL551" i="5"/>
  <c r="AK551" i="5"/>
  <c r="AL550" i="5"/>
  <c r="AK550" i="5"/>
  <c r="AL549" i="5"/>
  <c r="AK549" i="5"/>
  <c r="AL548" i="5"/>
  <c r="AK548" i="5"/>
  <c r="AL547" i="5"/>
  <c r="AK547" i="5"/>
  <c r="AV546" i="5"/>
  <c r="AV544" i="5" s="1"/>
  <c r="AU546" i="5"/>
  <c r="AT546" i="5"/>
  <c r="AT544" i="5" s="1"/>
  <c r="AS546" i="5"/>
  <c r="AR546" i="5"/>
  <c r="AR544" i="5" s="1"/>
  <c r="AQ546" i="5"/>
  <c r="AP546" i="5"/>
  <c r="AO546" i="5"/>
  <c r="AN546" i="5"/>
  <c r="AN544" i="5" s="1"/>
  <c r="AM546" i="5"/>
  <c r="AL546" i="5"/>
  <c r="AK546" i="5"/>
  <c r="AJ546" i="5"/>
  <c r="AJ544" i="5" s="1"/>
  <c r="AH546" i="5"/>
  <c r="AF546" i="5"/>
  <c r="AF544" i="5" s="1"/>
  <c r="AD546" i="5"/>
  <c r="AD544" i="5" s="1"/>
  <c r="AC546" i="5"/>
  <c r="AC544" i="5" s="1"/>
  <c r="AB546" i="5"/>
  <c r="AB544" i="5" s="1"/>
  <c r="Z546" i="5"/>
  <c r="X546" i="5"/>
  <c r="V546" i="5"/>
  <c r="V544" i="5" s="1"/>
  <c r="U546" i="5"/>
  <c r="T546" i="5"/>
  <c r="T544" i="5" s="1"/>
  <c r="R546" i="5"/>
  <c r="P546" i="5"/>
  <c r="P544" i="5" s="1"/>
  <c r="O546" i="5"/>
  <c r="N546" i="5"/>
  <c r="N544" i="5" s="1"/>
  <c r="M546" i="5"/>
  <c r="L546" i="5"/>
  <c r="L544" i="5" s="1"/>
  <c r="K546" i="5"/>
  <c r="J546" i="5"/>
  <c r="I546" i="5"/>
  <c r="H546" i="5"/>
  <c r="H544" i="5" s="1"/>
  <c r="G546" i="5"/>
  <c r="AL545" i="5"/>
  <c r="AL544" i="5" s="1"/>
  <c r="AK545" i="5"/>
  <c r="X545" i="5"/>
  <c r="X544" i="5" s="1"/>
  <c r="AU544" i="5"/>
  <c r="AS544" i="5"/>
  <c r="AQ544" i="5"/>
  <c r="AP544" i="5"/>
  <c r="AO544" i="5"/>
  <c r="AM544" i="5"/>
  <c r="AK544" i="5"/>
  <c r="AH544" i="5"/>
  <c r="Z544" i="5"/>
  <c r="U544" i="5"/>
  <c r="R544" i="5"/>
  <c r="O544" i="5"/>
  <c r="M544" i="5"/>
  <c r="K544" i="5"/>
  <c r="J544" i="5"/>
  <c r="I544" i="5"/>
  <c r="G544" i="5"/>
  <c r="AL543" i="5"/>
  <c r="AK543" i="5"/>
  <c r="AL542" i="5"/>
  <c r="AK542" i="5"/>
  <c r="AL541" i="5"/>
  <c r="AK541" i="5"/>
  <c r="AL540" i="5"/>
  <c r="AK540" i="5"/>
  <c r="AL539" i="5"/>
  <c r="AK539" i="5"/>
  <c r="AL538" i="5"/>
  <c r="AL537" i="5"/>
  <c r="AL536" i="5"/>
  <c r="AK536" i="5"/>
  <c r="AL535" i="5"/>
  <c r="AK535" i="5"/>
  <c r="AL534" i="5"/>
  <c r="AL533" i="5"/>
  <c r="AK533" i="5"/>
  <c r="AL532" i="5"/>
  <c r="AK532" i="5"/>
  <c r="AL531" i="5"/>
  <c r="AK531" i="5"/>
  <c r="AL530" i="5"/>
  <c r="AK530" i="5"/>
  <c r="AL529" i="5"/>
  <c r="AL528" i="5"/>
  <c r="AL527" i="5"/>
  <c r="AL526" i="5"/>
  <c r="AL525" i="5"/>
  <c r="AL524" i="5"/>
  <c r="AL523" i="5"/>
  <c r="AL522" i="5"/>
  <c r="AL521" i="5"/>
  <c r="AL520" i="5"/>
  <c r="AK520" i="5"/>
  <c r="AL519" i="5"/>
  <c r="AK519" i="5"/>
  <c r="AL518" i="5"/>
  <c r="AK518" i="5"/>
  <c r="AL517" i="5"/>
  <c r="AK517" i="5"/>
  <c r="AL516" i="5"/>
  <c r="AK516" i="5"/>
  <c r="AL515" i="5"/>
  <c r="AK515" i="5"/>
  <c r="AL514" i="5"/>
  <c r="AK514" i="5"/>
  <c r="AL513" i="5"/>
  <c r="AL512" i="5"/>
  <c r="AK512" i="5"/>
  <c r="AL511" i="5"/>
  <c r="AK511" i="5"/>
  <c r="AL510" i="5"/>
  <c r="AK510" i="5"/>
  <c r="AV509" i="5"/>
  <c r="AU509" i="5"/>
  <c r="AU507" i="5" s="1"/>
  <c r="AT509" i="5"/>
  <c r="AT507" i="5" s="1"/>
  <c r="AS509" i="5"/>
  <c r="AR509" i="5"/>
  <c r="AR507" i="5" s="1"/>
  <c r="AQ509" i="5"/>
  <c r="AP509" i="5"/>
  <c r="AP507" i="5" s="1"/>
  <c r="AO509" i="5"/>
  <c r="AN509" i="5"/>
  <c r="AN507" i="5" s="1"/>
  <c r="AM509" i="5"/>
  <c r="AM507" i="5" s="1"/>
  <c r="AJ509" i="5"/>
  <c r="AJ507" i="5" s="1"/>
  <c r="AI509" i="5"/>
  <c r="AH509" i="5"/>
  <c r="AH507" i="5" s="1"/>
  <c r="AG509" i="5"/>
  <c r="AF509" i="5"/>
  <c r="AE509" i="5"/>
  <c r="AE507" i="5" s="1"/>
  <c r="AD509" i="5"/>
  <c r="AD507" i="5" s="1"/>
  <c r="AC509" i="5"/>
  <c r="AB509" i="5"/>
  <c r="AB507" i="5" s="1"/>
  <c r="AA509" i="5"/>
  <c r="Z509" i="5"/>
  <c r="Z507" i="5" s="1"/>
  <c r="Y509" i="5"/>
  <c r="X509" i="5"/>
  <c r="W509" i="5"/>
  <c r="W507" i="5" s="1"/>
  <c r="V509" i="5"/>
  <c r="V507" i="5" s="1"/>
  <c r="U509" i="5"/>
  <c r="T509" i="5"/>
  <c r="T507" i="5" s="1"/>
  <c r="S509" i="5"/>
  <c r="R509" i="5"/>
  <c r="R507" i="5" s="1"/>
  <c r="Q509" i="5"/>
  <c r="P509" i="5"/>
  <c r="O509" i="5"/>
  <c r="O507" i="5" s="1"/>
  <c r="N509" i="5"/>
  <c r="N507" i="5" s="1"/>
  <c r="M509" i="5"/>
  <c r="L509" i="5"/>
  <c r="L507" i="5" s="1"/>
  <c r="K509" i="5"/>
  <c r="J509" i="5"/>
  <c r="J507" i="5" s="1"/>
  <c r="I509" i="5"/>
  <c r="H509" i="5"/>
  <c r="G509" i="5"/>
  <c r="G507" i="5" s="1"/>
  <c r="AL508" i="5"/>
  <c r="AK508" i="5"/>
  <c r="H508" i="5"/>
  <c r="H507" i="5" s="1"/>
  <c r="AV507" i="5"/>
  <c r="AS507" i="5"/>
  <c r="AQ507" i="5"/>
  <c r="AO507" i="5"/>
  <c r="AI507" i="5"/>
  <c r="AG507" i="5"/>
  <c r="AF507" i="5"/>
  <c r="AC507" i="5"/>
  <c r="AA507" i="5"/>
  <c r="Y507" i="5"/>
  <c r="X507" i="5"/>
  <c r="U507" i="5"/>
  <c r="S507" i="5"/>
  <c r="Q507" i="5"/>
  <c r="P507" i="5"/>
  <c r="M507" i="5"/>
  <c r="K507" i="5"/>
  <c r="I507" i="5"/>
  <c r="AL503" i="5"/>
  <c r="AK503" i="5"/>
  <c r="AL502" i="5"/>
  <c r="AK502" i="5"/>
  <c r="AL501" i="5"/>
  <c r="AK501" i="5"/>
  <c r="AL500" i="5"/>
  <c r="AK500" i="5"/>
  <c r="AL499" i="5"/>
  <c r="AK499" i="5"/>
  <c r="AL498" i="5"/>
  <c r="AK498" i="5"/>
  <c r="AL497" i="5"/>
  <c r="AK497" i="5"/>
  <c r="AL496" i="5"/>
  <c r="AK496" i="5"/>
  <c r="AL495" i="5"/>
  <c r="AK495" i="5"/>
  <c r="AL494" i="5"/>
  <c r="AK494" i="5"/>
  <c r="AL493" i="5"/>
  <c r="AK493" i="5"/>
  <c r="AL492" i="5"/>
  <c r="AK492" i="5"/>
  <c r="AL491" i="5"/>
  <c r="AK491" i="5"/>
  <c r="AL490" i="5"/>
  <c r="AK490" i="5"/>
  <c r="AL489" i="5"/>
  <c r="AK489" i="5"/>
  <c r="AL488" i="5"/>
  <c r="AK488" i="5"/>
  <c r="AL487" i="5"/>
  <c r="AK487" i="5"/>
  <c r="AL486" i="5"/>
  <c r="AK486" i="5"/>
  <c r="AL485" i="5"/>
  <c r="AK485" i="5"/>
  <c r="AL484" i="5"/>
  <c r="AK484" i="5"/>
  <c r="AL483" i="5"/>
  <c r="AK483" i="5"/>
  <c r="AL482" i="5"/>
  <c r="AK482" i="5"/>
  <c r="AL481" i="5"/>
  <c r="AK481" i="5"/>
  <c r="AL480" i="5"/>
  <c r="AK480" i="5"/>
  <c r="AL479" i="5"/>
  <c r="AK479" i="5"/>
  <c r="AL478" i="5"/>
  <c r="AK478" i="5"/>
  <c r="AL477" i="5"/>
  <c r="AK477" i="5"/>
  <c r="AL476" i="5"/>
  <c r="AK476" i="5"/>
  <c r="AL475" i="5"/>
  <c r="AK475" i="5"/>
  <c r="AL474" i="5"/>
  <c r="AK474" i="5"/>
  <c r="AL473" i="5"/>
  <c r="AK473" i="5"/>
  <c r="AL472" i="5"/>
  <c r="AK472" i="5"/>
  <c r="AL471" i="5"/>
  <c r="AK471" i="5"/>
  <c r="AL470" i="5"/>
  <c r="AK470" i="5"/>
  <c r="AL469" i="5"/>
  <c r="AK469" i="5"/>
  <c r="AL468" i="5"/>
  <c r="AK468" i="5"/>
  <c r="AL467" i="5"/>
  <c r="AK467" i="5"/>
  <c r="AL466" i="5"/>
  <c r="AK466" i="5"/>
  <c r="AL465" i="5"/>
  <c r="AK465" i="5"/>
  <c r="AL464" i="5"/>
  <c r="AK464" i="5"/>
  <c r="AL463" i="5"/>
  <c r="AK463" i="5"/>
  <c r="AL462" i="5"/>
  <c r="AK462" i="5"/>
  <c r="AL461" i="5"/>
  <c r="AK461" i="5"/>
  <c r="AL460" i="5"/>
  <c r="AK460" i="5"/>
  <c r="AL459" i="5"/>
  <c r="AK459" i="5"/>
  <c r="AL458" i="5"/>
  <c r="AK458" i="5"/>
  <c r="AL457" i="5"/>
  <c r="AK457" i="5"/>
  <c r="AL456" i="5"/>
  <c r="AK456" i="5"/>
  <c r="AL455" i="5"/>
  <c r="AK455" i="5"/>
  <c r="AL454" i="5"/>
  <c r="AK454" i="5"/>
  <c r="AL453" i="5"/>
  <c r="AK453" i="5"/>
  <c r="AL452" i="5"/>
  <c r="AK452" i="5"/>
  <c r="AL451" i="5"/>
  <c r="AK451" i="5"/>
  <c r="AL450" i="5"/>
  <c r="AK450" i="5"/>
  <c r="AL449" i="5"/>
  <c r="AK449" i="5"/>
  <c r="AL448" i="5"/>
  <c r="AK448" i="5"/>
  <c r="AL447" i="5"/>
  <c r="AK447" i="5"/>
  <c r="AL446" i="5"/>
  <c r="AK446" i="5"/>
  <c r="AL445" i="5"/>
  <c r="AK445" i="5"/>
  <c r="AL444" i="5"/>
  <c r="AK444" i="5"/>
  <c r="AL443" i="5"/>
  <c r="AK443" i="5"/>
  <c r="AL442" i="5"/>
  <c r="AK442" i="5"/>
  <c r="AL441" i="5"/>
  <c r="AK441" i="5"/>
  <c r="AL440" i="5"/>
  <c r="AK440" i="5"/>
  <c r="AL439" i="5"/>
  <c r="AK439" i="5"/>
  <c r="AL438" i="5"/>
  <c r="AK438" i="5"/>
  <c r="AL437" i="5"/>
  <c r="AK437" i="5"/>
  <c r="AL436" i="5"/>
  <c r="AK436" i="5"/>
  <c r="AL435" i="5"/>
  <c r="AK435" i="5"/>
  <c r="AL434" i="5"/>
  <c r="AK434" i="5"/>
  <c r="AL433" i="5"/>
  <c r="AK433" i="5"/>
  <c r="AL432" i="5"/>
  <c r="AK432" i="5"/>
  <c r="AL431" i="5"/>
  <c r="AK431" i="5"/>
  <c r="AL430" i="5"/>
  <c r="AK430" i="5"/>
  <c r="AL429" i="5"/>
  <c r="AK429" i="5"/>
  <c r="AL428" i="5"/>
  <c r="AK428" i="5"/>
  <c r="AV427" i="5"/>
  <c r="AU427" i="5"/>
  <c r="AT427" i="5"/>
  <c r="AS427" i="5"/>
  <c r="AR427" i="5"/>
  <c r="AQ427" i="5"/>
  <c r="AQ425" i="5" s="1"/>
  <c r="AP427" i="5"/>
  <c r="AO427" i="5"/>
  <c r="AN427" i="5"/>
  <c r="AM427" i="5"/>
  <c r="AL427" i="5"/>
  <c r="AJ427" i="5"/>
  <c r="AI427" i="5"/>
  <c r="AI425" i="5" s="1"/>
  <c r="AH427" i="5"/>
  <c r="AG427" i="5"/>
  <c r="AF427" i="5"/>
  <c r="AE427" i="5"/>
  <c r="AD427" i="5"/>
  <c r="AD425" i="5" s="1"/>
  <c r="AC427" i="5"/>
  <c r="AB427" i="5"/>
  <c r="AA427" i="5"/>
  <c r="AA425" i="5" s="1"/>
  <c r="Z427" i="5"/>
  <c r="Y427" i="5"/>
  <c r="X427" i="5"/>
  <c r="W427" i="5"/>
  <c r="V427" i="5"/>
  <c r="V425" i="5" s="1"/>
  <c r="U427" i="5"/>
  <c r="T427" i="5"/>
  <c r="S427" i="5"/>
  <c r="S425" i="5" s="1"/>
  <c r="R427" i="5"/>
  <c r="Q427" i="5"/>
  <c r="P427" i="5"/>
  <c r="AT426" i="5"/>
  <c r="AL426" i="5"/>
  <c r="AL425" i="5" s="1"/>
  <c r="AK426" i="5"/>
  <c r="AV425" i="5"/>
  <c r="AU425" i="5"/>
  <c r="AS425" i="5"/>
  <c r="AR425" i="5"/>
  <c r="AP425" i="5"/>
  <c r="AO425" i="5"/>
  <c r="AN425" i="5"/>
  <c r="AM425" i="5"/>
  <c r="AJ425" i="5"/>
  <c r="AH425" i="5"/>
  <c r="AG425" i="5"/>
  <c r="AF425" i="5"/>
  <c r="AE425" i="5"/>
  <c r="AC425" i="5"/>
  <c r="AB425" i="5"/>
  <c r="Z425" i="5"/>
  <c r="Y425" i="5"/>
  <c r="X425" i="5"/>
  <c r="W425" i="5"/>
  <c r="U425" i="5"/>
  <c r="T425" i="5"/>
  <c r="R425" i="5"/>
  <c r="Q425" i="5"/>
  <c r="P425" i="5"/>
  <c r="AL424" i="5"/>
  <c r="AK424" i="5"/>
  <c r="AL423" i="5"/>
  <c r="AK423" i="5"/>
  <c r="AL422" i="5"/>
  <c r="AK422" i="5"/>
  <c r="AL421" i="5"/>
  <c r="AK421" i="5"/>
  <c r="AL420" i="5"/>
  <c r="AK420" i="5"/>
  <c r="AL419" i="5"/>
  <c r="AK419" i="5"/>
  <c r="AL418" i="5"/>
  <c r="AK418" i="5"/>
  <c r="AL417" i="5"/>
  <c r="AK417" i="5"/>
  <c r="AL416" i="5"/>
  <c r="AK416" i="5"/>
  <c r="AL415" i="5"/>
  <c r="AK415" i="5"/>
  <c r="AL414" i="5"/>
  <c r="AK414" i="5"/>
  <c r="AL413" i="5"/>
  <c r="AK413" i="5"/>
  <c r="AL412" i="5"/>
  <c r="AK412" i="5"/>
  <c r="AL411" i="5"/>
  <c r="AK411" i="5"/>
  <c r="AL410" i="5"/>
  <c r="AK410" i="5"/>
  <c r="AL409" i="5"/>
  <c r="AK409" i="5"/>
  <c r="AL408" i="5"/>
  <c r="AK408" i="5"/>
  <c r="AL407" i="5"/>
  <c r="AK407" i="5"/>
  <c r="AL406" i="5"/>
  <c r="AK406" i="5"/>
  <c r="AL405" i="5"/>
  <c r="AK405" i="5"/>
  <c r="AL404" i="5"/>
  <c r="AK404" i="5"/>
  <c r="AL403" i="5"/>
  <c r="AK403" i="5"/>
  <c r="AL402" i="5"/>
  <c r="AK402" i="5"/>
  <c r="AL401" i="5"/>
  <c r="AK401" i="5"/>
  <c r="AL400" i="5"/>
  <c r="AK400" i="5"/>
  <c r="AL399" i="5"/>
  <c r="AK399" i="5"/>
  <c r="AL398" i="5"/>
  <c r="AK398" i="5"/>
  <c r="AL397" i="5"/>
  <c r="AK397" i="5"/>
  <c r="AL396" i="5"/>
  <c r="AK396" i="5"/>
  <c r="AL395" i="5"/>
  <c r="AK395" i="5"/>
  <c r="AL394" i="5"/>
  <c r="AK394" i="5"/>
  <c r="AL393" i="5"/>
  <c r="AK393" i="5"/>
  <c r="AL392" i="5"/>
  <c r="AK392" i="5"/>
  <c r="AL391" i="5"/>
  <c r="AK391" i="5"/>
  <c r="AL390" i="5"/>
  <c r="AK390" i="5"/>
  <c r="AL387" i="5"/>
  <c r="AK387" i="5"/>
  <c r="AL386" i="5"/>
  <c r="AK386" i="5"/>
  <c r="AL385" i="5"/>
  <c r="AK385" i="5"/>
  <c r="AL384" i="5"/>
  <c r="AK384" i="5"/>
  <c r="AL383" i="5"/>
  <c r="AK383" i="5"/>
  <c r="AL382" i="5"/>
  <c r="AK382" i="5"/>
  <c r="AL381" i="5"/>
  <c r="AK381" i="5"/>
  <c r="AL380" i="5"/>
  <c r="AK380" i="5"/>
  <c r="AL379" i="5"/>
  <c r="AK379" i="5"/>
  <c r="AL378" i="5"/>
  <c r="AK378" i="5"/>
  <c r="AL377" i="5"/>
  <c r="AK377" i="5"/>
  <c r="AL376" i="5"/>
  <c r="AK376" i="5"/>
  <c r="AL375" i="5"/>
  <c r="AK375" i="5"/>
  <c r="AL374" i="5"/>
  <c r="AK374" i="5"/>
  <c r="AL373" i="5"/>
  <c r="AK373" i="5"/>
  <c r="AV372" i="5"/>
  <c r="AU372" i="5"/>
  <c r="AU370" i="5" s="1"/>
  <c r="AT372" i="5"/>
  <c r="AS372" i="5"/>
  <c r="AR372" i="5"/>
  <c r="AR370" i="5" s="1"/>
  <c r="AQ372" i="5"/>
  <c r="AP372" i="5"/>
  <c r="AO372" i="5"/>
  <c r="AN372" i="5"/>
  <c r="AM372" i="5"/>
  <c r="AM370" i="5" s="1"/>
  <c r="AJ372" i="5"/>
  <c r="AJ370" i="5" s="1"/>
  <c r="AI372" i="5"/>
  <c r="AH372" i="5"/>
  <c r="AG372" i="5"/>
  <c r="AF372" i="5"/>
  <c r="AE372" i="5"/>
  <c r="AE370" i="5" s="1"/>
  <c r="AD372" i="5"/>
  <c r="AC372" i="5"/>
  <c r="AB372" i="5"/>
  <c r="AB370" i="5" s="1"/>
  <c r="AA372" i="5"/>
  <c r="Z372" i="5"/>
  <c r="Y372" i="5"/>
  <c r="X372" i="5"/>
  <c r="W372" i="5"/>
  <c r="W370" i="5" s="1"/>
  <c r="V372" i="5"/>
  <c r="U372" i="5"/>
  <c r="T372" i="5"/>
  <c r="T370" i="5" s="1"/>
  <c r="S372" i="5"/>
  <c r="R372" i="5"/>
  <c r="Q372" i="5"/>
  <c r="P372" i="5"/>
  <c r="O372" i="5"/>
  <c r="O370" i="5" s="1"/>
  <c r="N372" i="5"/>
  <c r="M372" i="5"/>
  <c r="L372" i="5"/>
  <c r="L370" i="5" s="1"/>
  <c r="K372" i="5"/>
  <c r="J372" i="5"/>
  <c r="I372" i="5"/>
  <c r="H372" i="5"/>
  <c r="G372" i="5"/>
  <c r="G370" i="5" s="1"/>
  <c r="AL371" i="5"/>
  <c r="AK371" i="5"/>
  <c r="AV370" i="5"/>
  <c r="AT370" i="5"/>
  <c r="AS370" i="5"/>
  <c r="AQ370" i="5"/>
  <c r="AP370" i="5"/>
  <c r="AO370" i="5"/>
  <c r="AN370" i="5"/>
  <c r="AI370" i="5"/>
  <c r="AH370" i="5"/>
  <c r="AG370" i="5"/>
  <c r="AF370" i="5"/>
  <c r="AD370" i="5"/>
  <c r="AC370" i="5"/>
  <c r="AA370" i="5"/>
  <c r="Z370" i="5"/>
  <c r="Y370" i="5"/>
  <c r="X370" i="5"/>
  <c r="V370" i="5"/>
  <c r="U370" i="5"/>
  <c r="S370" i="5"/>
  <c r="R370" i="5"/>
  <c r="Q370" i="5"/>
  <c r="P370" i="5"/>
  <c r="N370" i="5"/>
  <c r="M370" i="5"/>
  <c r="K370" i="5"/>
  <c r="J370" i="5"/>
  <c r="I370" i="5"/>
  <c r="H370" i="5"/>
  <c r="AL358" i="5"/>
  <c r="AK358" i="5"/>
  <c r="AL357" i="5"/>
  <c r="AK357" i="5"/>
  <c r="AL356" i="5"/>
  <c r="AK356" i="5"/>
  <c r="AL355" i="5"/>
  <c r="AK355" i="5"/>
  <c r="AL354" i="5"/>
  <c r="AK354" i="5"/>
  <c r="AL353" i="5"/>
  <c r="AK353" i="5"/>
  <c r="AL352" i="5"/>
  <c r="AK352" i="5"/>
  <c r="AL351" i="5"/>
  <c r="AK351" i="5"/>
  <c r="AL350" i="5"/>
  <c r="AK350" i="5"/>
  <c r="AL349" i="5"/>
  <c r="AK349" i="5"/>
  <c r="AL348" i="5"/>
  <c r="AK348" i="5"/>
  <c r="AL347" i="5"/>
  <c r="AK347" i="5"/>
  <c r="AL346" i="5"/>
  <c r="AK346" i="5"/>
  <c r="AL345" i="5"/>
  <c r="AK345" i="5"/>
  <c r="AL344" i="5"/>
  <c r="AK344" i="5"/>
  <c r="AL343" i="5"/>
  <c r="AK343" i="5"/>
  <c r="AL342" i="5"/>
  <c r="AK342" i="5"/>
  <c r="AL341" i="5"/>
  <c r="AK341" i="5"/>
  <c r="AL340" i="5"/>
  <c r="AK340" i="5"/>
  <c r="AL339" i="5"/>
  <c r="AK339" i="5"/>
  <c r="AL338" i="5"/>
  <c r="AK338" i="5"/>
  <c r="AL337" i="5"/>
  <c r="AK337" i="5"/>
  <c r="AL336" i="5"/>
  <c r="AK336" i="5"/>
  <c r="AL335" i="5"/>
  <c r="AK335" i="5"/>
  <c r="AL334" i="5"/>
  <c r="AK334" i="5"/>
  <c r="AL333" i="5"/>
  <c r="AK333" i="5"/>
  <c r="AL332" i="5"/>
  <c r="AK332" i="5"/>
  <c r="AL331" i="5"/>
  <c r="AK331" i="5"/>
  <c r="AL330" i="5"/>
  <c r="AK330" i="5"/>
  <c r="AL329" i="5"/>
  <c r="AK329" i="5"/>
  <c r="AL328" i="5"/>
  <c r="AK328" i="5"/>
  <c r="AL327" i="5"/>
  <c r="AK327" i="5"/>
  <c r="AL326" i="5"/>
  <c r="AK326" i="5"/>
  <c r="AL325" i="5"/>
  <c r="AK325" i="5"/>
  <c r="AL324" i="5"/>
  <c r="AK324" i="5"/>
  <c r="AL323" i="5"/>
  <c r="AK323" i="5"/>
  <c r="AL322" i="5"/>
  <c r="AK322" i="5"/>
  <c r="AL321" i="5"/>
  <c r="AK321" i="5"/>
  <c r="AL320" i="5"/>
  <c r="AK320" i="5"/>
  <c r="AL319" i="5"/>
  <c r="AK319" i="5"/>
  <c r="AL318" i="5"/>
  <c r="AK318" i="5"/>
  <c r="AL317" i="5"/>
  <c r="AK317" i="5"/>
  <c r="AL316" i="5"/>
  <c r="AK316" i="5"/>
  <c r="AL315" i="5"/>
  <c r="AK315" i="5"/>
  <c r="AL314" i="5"/>
  <c r="AK314" i="5"/>
  <c r="AL313" i="5"/>
  <c r="AK313" i="5"/>
  <c r="AL312" i="5"/>
  <c r="AK312" i="5"/>
  <c r="AL311" i="5"/>
  <c r="AK311" i="5"/>
  <c r="AL310" i="5"/>
  <c r="AK310" i="5"/>
  <c r="AL309" i="5"/>
  <c r="AK309" i="5"/>
  <c r="AL308" i="5"/>
  <c r="AK308" i="5"/>
  <c r="AL307" i="5"/>
  <c r="AK307" i="5"/>
  <c r="AL306" i="5"/>
  <c r="AK306" i="5"/>
  <c r="AL305" i="5"/>
  <c r="AK305" i="5"/>
  <c r="AL304" i="5"/>
  <c r="AK304" i="5"/>
  <c r="AL303" i="5"/>
  <c r="AK303" i="5"/>
  <c r="AL302" i="5"/>
  <c r="AK302" i="5"/>
  <c r="AL301" i="5"/>
  <c r="AK301" i="5"/>
  <c r="AL300" i="5"/>
  <c r="AK300" i="5"/>
  <c r="AL299" i="5"/>
  <c r="AK299" i="5"/>
  <c r="AL298" i="5"/>
  <c r="AK298" i="5"/>
  <c r="AL297" i="5"/>
  <c r="AK297" i="5"/>
  <c r="AL296" i="5"/>
  <c r="AK296" i="5"/>
  <c r="AL295" i="5"/>
  <c r="AK295" i="5"/>
  <c r="AL294" i="5"/>
  <c r="AK294" i="5"/>
  <c r="AL293" i="5"/>
  <c r="AK293" i="5"/>
  <c r="AL292" i="5"/>
  <c r="AK292" i="5"/>
  <c r="AL291" i="5"/>
  <c r="AK291" i="5"/>
  <c r="AL290" i="5"/>
  <c r="AK290" i="5"/>
  <c r="AL289" i="5"/>
  <c r="AK289" i="5"/>
  <c r="AL288" i="5"/>
  <c r="AK288" i="5"/>
  <c r="AL287" i="5"/>
  <c r="AK287" i="5"/>
  <c r="AL286" i="5"/>
  <c r="AK286" i="5"/>
  <c r="AL285" i="5"/>
  <c r="AK285" i="5"/>
  <c r="AL284" i="5"/>
  <c r="AK284" i="5"/>
  <c r="AL283" i="5"/>
  <c r="AK283" i="5"/>
  <c r="AL282" i="5"/>
  <c r="AK282" i="5"/>
  <c r="AL281" i="5"/>
  <c r="AK281" i="5"/>
  <c r="AL280" i="5"/>
  <c r="AK280" i="5"/>
  <c r="AL279" i="5"/>
  <c r="AK279" i="5"/>
  <c r="AL278" i="5"/>
  <c r="AK278" i="5"/>
  <c r="AL277" i="5"/>
  <c r="AK277" i="5"/>
  <c r="AL276" i="5"/>
  <c r="AK276" i="5"/>
  <c r="AL275" i="5"/>
  <c r="AK275" i="5"/>
  <c r="AL274" i="5"/>
  <c r="AK274" i="5"/>
  <c r="AL273" i="5"/>
  <c r="AK273" i="5"/>
  <c r="AL272" i="5"/>
  <c r="AK272" i="5"/>
  <c r="AL271" i="5"/>
  <c r="AK271" i="5"/>
  <c r="AL270" i="5"/>
  <c r="AK270" i="5"/>
  <c r="AL269" i="5"/>
  <c r="AK269" i="5"/>
  <c r="AL268" i="5"/>
  <c r="AK268" i="5"/>
  <c r="AL267" i="5"/>
  <c r="AK267" i="5"/>
  <c r="AL266" i="5"/>
  <c r="AK266" i="5"/>
  <c r="AL265" i="5"/>
  <c r="AK265" i="5"/>
  <c r="AL264" i="5"/>
  <c r="AK264" i="5"/>
  <c r="AL263" i="5"/>
  <c r="AK263" i="5"/>
  <c r="AL262" i="5"/>
  <c r="AK262" i="5"/>
  <c r="AL261" i="5"/>
  <c r="AK261" i="5"/>
  <c r="AL260" i="5"/>
  <c r="AK260" i="5"/>
  <c r="AL259" i="5"/>
  <c r="AK259" i="5"/>
  <c r="AL258" i="5"/>
  <c r="AK258" i="5"/>
  <c r="AL257" i="5"/>
  <c r="AK257" i="5"/>
  <c r="AL256" i="5"/>
  <c r="AK256" i="5"/>
  <c r="AL255" i="5"/>
  <c r="AK255" i="5"/>
  <c r="AL254" i="5"/>
  <c r="AK254" i="5"/>
  <c r="AL253" i="5"/>
  <c r="AK253" i="5"/>
  <c r="AL252" i="5"/>
  <c r="AK252" i="5"/>
  <c r="AL251" i="5"/>
  <c r="AK251" i="5"/>
  <c r="AL250" i="5"/>
  <c r="AK250" i="5"/>
  <c r="AL249" i="5"/>
  <c r="AK249" i="5"/>
  <c r="AL248" i="5"/>
  <c r="AK248" i="5"/>
  <c r="AL247" i="5"/>
  <c r="AK247" i="5"/>
  <c r="AL246" i="5"/>
  <c r="AK246" i="5"/>
  <c r="AL245" i="5"/>
  <c r="AK245" i="5"/>
  <c r="AL244" i="5"/>
  <c r="AK244" i="5"/>
  <c r="AL243" i="5"/>
  <c r="AK243" i="5"/>
  <c r="AL242" i="5"/>
  <c r="AK242" i="5"/>
  <c r="AL241" i="5"/>
  <c r="AK241" i="5"/>
  <c r="AL240" i="5"/>
  <c r="AK240" i="5"/>
  <c r="AL239" i="5"/>
  <c r="AK239" i="5"/>
  <c r="AL238" i="5"/>
  <c r="AK238" i="5"/>
  <c r="AL237" i="5"/>
  <c r="AK237" i="5"/>
  <c r="AL236" i="5"/>
  <c r="AK236" i="5"/>
  <c r="AL235" i="5"/>
  <c r="AK235" i="5"/>
  <c r="AL234" i="5"/>
  <c r="AK234" i="5"/>
  <c r="AL233" i="5"/>
  <c r="AK233" i="5"/>
  <c r="AL232" i="5"/>
  <c r="AK232" i="5"/>
  <c r="AL231" i="5"/>
  <c r="AK231" i="5"/>
  <c r="AL230" i="5"/>
  <c r="AK230" i="5"/>
  <c r="AL229" i="5"/>
  <c r="AK229" i="5"/>
  <c r="AL228" i="5"/>
  <c r="AK228" i="5"/>
  <c r="AL227" i="5"/>
  <c r="AK227" i="5"/>
  <c r="AL226" i="5"/>
  <c r="AK226" i="5"/>
  <c r="AL225" i="5"/>
  <c r="AK225" i="5"/>
  <c r="AL224" i="5"/>
  <c r="AK224" i="5"/>
  <c r="AL223" i="5"/>
  <c r="AK223" i="5"/>
  <c r="AL222" i="5"/>
  <c r="AK222" i="5"/>
  <c r="AL221" i="5"/>
  <c r="AK221" i="5"/>
  <c r="AL220" i="5"/>
  <c r="AK220" i="5"/>
  <c r="AL219" i="5"/>
  <c r="AK219" i="5"/>
  <c r="AL218" i="5"/>
  <c r="AK218" i="5"/>
  <c r="AL217" i="5"/>
  <c r="AK217" i="5"/>
  <c r="AL216" i="5"/>
  <c r="AK216" i="5"/>
  <c r="AL215" i="5"/>
  <c r="AK215" i="5"/>
  <c r="AL214" i="5"/>
  <c r="AK214" i="5"/>
  <c r="AL213" i="5"/>
  <c r="AK213" i="5"/>
  <c r="AL212" i="5"/>
  <c r="AK212" i="5"/>
  <c r="AL211" i="5"/>
  <c r="AK211" i="5"/>
  <c r="AL210" i="5"/>
  <c r="AK210" i="5"/>
  <c r="AV209" i="5"/>
  <c r="AU209" i="5"/>
  <c r="AU207" i="5" s="1"/>
  <c r="AT209" i="5"/>
  <c r="AS209" i="5"/>
  <c r="AR209" i="5"/>
  <c r="AR207" i="5" s="1"/>
  <c r="AQ209" i="5"/>
  <c r="AP209" i="5"/>
  <c r="AO209" i="5"/>
  <c r="AN209" i="5"/>
  <c r="AM209" i="5"/>
  <c r="AM207" i="5" s="1"/>
  <c r="AJ209" i="5"/>
  <c r="AJ207" i="5" s="1"/>
  <c r="AI209" i="5"/>
  <c r="AH209" i="5"/>
  <c r="AG209" i="5"/>
  <c r="AF209" i="5"/>
  <c r="AE209" i="5"/>
  <c r="AE207" i="5" s="1"/>
  <c r="AD209" i="5"/>
  <c r="AC209" i="5"/>
  <c r="AB209" i="5"/>
  <c r="AB207" i="5" s="1"/>
  <c r="AA209" i="5"/>
  <c r="Z209" i="5"/>
  <c r="Y209" i="5"/>
  <c r="X209" i="5"/>
  <c r="W209" i="5"/>
  <c r="W207" i="5" s="1"/>
  <c r="V209" i="5"/>
  <c r="U209" i="5"/>
  <c r="T209" i="5"/>
  <c r="T207" i="5" s="1"/>
  <c r="S209" i="5"/>
  <c r="R209" i="5"/>
  <c r="Q209" i="5"/>
  <c r="P209" i="5"/>
  <c r="O209" i="5"/>
  <c r="O207" i="5" s="1"/>
  <c r="N209" i="5"/>
  <c r="M209" i="5"/>
  <c r="L209" i="5"/>
  <c r="L207" i="5" s="1"/>
  <c r="K209" i="5"/>
  <c r="J209" i="5"/>
  <c r="I209" i="5"/>
  <c r="H209" i="5"/>
  <c r="G209" i="5"/>
  <c r="AL208" i="5"/>
  <c r="AK208" i="5"/>
  <c r="G208" i="5"/>
  <c r="G207" i="5" s="1"/>
  <c r="AV207" i="5"/>
  <c r="AT207" i="5"/>
  <c r="AS207" i="5"/>
  <c r="AQ207" i="5"/>
  <c r="AP207" i="5"/>
  <c r="AO207" i="5"/>
  <c r="AN207" i="5"/>
  <c r="AI207" i="5"/>
  <c r="AH207" i="5"/>
  <c r="AG207" i="5"/>
  <c r="AF207" i="5"/>
  <c r="AD207" i="5"/>
  <c r="AC207" i="5"/>
  <c r="AA207" i="5"/>
  <c r="Z207" i="5"/>
  <c r="Y207" i="5"/>
  <c r="X207" i="5"/>
  <c r="V207" i="5"/>
  <c r="U207" i="5"/>
  <c r="S207" i="5"/>
  <c r="R207" i="5"/>
  <c r="Q207" i="5"/>
  <c r="P207" i="5"/>
  <c r="N207" i="5"/>
  <c r="M207" i="5"/>
  <c r="K207" i="5"/>
  <c r="J207" i="5"/>
  <c r="I207" i="5"/>
  <c r="H207" i="5"/>
  <c r="AL206" i="5"/>
  <c r="AK206" i="5"/>
  <c r="AL205" i="5"/>
  <c r="AK205" i="5"/>
  <c r="AL204" i="5"/>
  <c r="AK204" i="5"/>
  <c r="AL203" i="5"/>
  <c r="AK203" i="5"/>
  <c r="AL202" i="5"/>
  <c r="AK202" i="5"/>
  <c r="AL201" i="5"/>
  <c r="AK201" i="5"/>
  <c r="AL200" i="5"/>
  <c r="AK200" i="5"/>
  <c r="AL199" i="5"/>
  <c r="AK199" i="5"/>
  <c r="AL198" i="5"/>
  <c r="AK198" i="5"/>
  <c r="AL197" i="5"/>
  <c r="AK197" i="5"/>
  <c r="AL196" i="5"/>
  <c r="AK196" i="5"/>
  <c r="AL195" i="5"/>
  <c r="AK195" i="5"/>
  <c r="AL194" i="5"/>
  <c r="AK194" i="5"/>
  <c r="AL193" i="5"/>
  <c r="AK193" i="5"/>
  <c r="AL192" i="5"/>
  <c r="AK192" i="5"/>
  <c r="AL191" i="5"/>
  <c r="AK191" i="5"/>
  <c r="AL190" i="5"/>
  <c r="AK190" i="5"/>
  <c r="AL189" i="5"/>
  <c r="AK189" i="5"/>
  <c r="AL188" i="5"/>
  <c r="AK188" i="5"/>
  <c r="AL187" i="5"/>
  <c r="AK187" i="5"/>
  <c r="AL186" i="5"/>
  <c r="AK186" i="5"/>
  <c r="AL185" i="5"/>
  <c r="AK185" i="5"/>
  <c r="AL184" i="5"/>
  <c r="AK184" i="5"/>
  <c r="AL183" i="5"/>
  <c r="AK183" i="5"/>
  <c r="AL182" i="5"/>
  <c r="AK182" i="5"/>
  <c r="AL181" i="5"/>
  <c r="AK181" i="5"/>
  <c r="AL180" i="5"/>
  <c r="AK180" i="5"/>
  <c r="AL179" i="5"/>
  <c r="AK179" i="5"/>
  <c r="AL178" i="5"/>
  <c r="AK178" i="5"/>
  <c r="AL177" i="5"/>
  <c r="AK177" i="5"/>
  <c r="AL176" i="5"/>
  <c r="AK176" i="5"/>
  <c r="AL175" i="5"/>
  <c r="AK175" i="5"/>
  <c r="AL174" i="5"/>
  <c r="AK174" i="5"/>
  <c r="AL173" i="5"/>
  <c r="AK173" i="5"/>
  <c r="AL172" i="5"/>
  <c r="AK172" i="5"/>
  <c r="AL171" i="5"/>
  <c r="AK171" i="5"/>
  <c r="AL170" i="5"/>
  <c r="AK170" i="5"/>
  <c r="AL169" i="5"/>
  <c r="AK169" i="5"/>
  <c r="AL168" i="5"/>
  <c r="AK168" i="5"/>
  <c r="AL167" i="5"/>
  <c r="AK167" i="5"/>
  <c r="AL166" i="5"/>
  <c r="AK166" i="5"/>
  <c r="AL165" i="5"/>
  <c r="AK165" i="5"/>
  <c r="AL164" i="5"/>
  <c r="AK164" i="5"/>
  <c r="AL163" i="5"/>
  <c r="AK163" i="5"/>
  <c r="AL162" i="5"/>
  <c r="AK162" i="5"/>
  <c r="AL161" i="5"/>
  <c r="AK161" i="5"/>
  <c r="AL160" i="5"/>
  <c r="AK160" i="5"/>
  <c r="AL159" i="5"/>
  <c r="AK159" i="5"/>
  <c r="AL158" i="5"/>
  <c r="AK158" i="5"/>
  <c r="AL157" i="5"/>
  <c r="AK157" i="5"/>
  <c r="AL156" i="5"/>
  <c r="AK156" i="5"/>
  <c r="AL155" i="5"/>
  <c r="AK155" i="5"/>
  <c r="AL154" i="5"/>
  <c r="AK154" i="5"/>
  <c r="AL153" i="5"/>
  <c r="AK153" i="5"/>
  <c r="AL152" i="5"/>
  <c r="AK152" i="5"/>
  <c r="AL151" i="5"/>
  <c r="AK151" i="5"/>
  <c r="AL150" i="5"/>
  <c r="AK150" i="5"/>
  <c r="AL149" i="5"/>
  <c r="AL148" i="5" s="1"/>
  <c r="AK149" i="5"/>
  <c r="AV148" i="5"/>
  <c r="AU148" i="5"/>
  <c r="AU146" i="5" s="1"/>
  <c r="AT148" i="5"/>
  <c r="AS148" i="5"/>
  <c r="AR148" i="5"/>
  <c r="AQ148" i="5"/>
  <c r="AP148" i="5"/>
  <c r="AP146" i="5" s="1"/>
  <c r="AO148" i="5"/>
  <c r="AN148" i="5"/>
  <c r="AM148" i="5"/>
  <c r="AM146" i="5" s="1"/>
  <c r="AJ148" i="5"/>
  <c r="AI148" i="5"/>
  <c r="AH148" i="5"/>
  <c r="AH146" i="5" s="1"/>
  <c r="AG148" i="5"/>
  <c r="AF148" i="5"/>
  <c r="AE148" i="5"/>
  <c r="AE146" i="5" s="1"/>
  <c r="AD148" i="5"/>
  <c r="AC148" i="5"/>
  <c r="AB148" i="5"/>
  <c r="AA148" i="5"/>
  <c r="Z148" i="5"/>
  <c r="Z146" i="5" s="1"/>
  <c r="Y148" i="5"/>
  <c r="X148" i="5"/>
  <c r="W148" i="5"/>
  <c r="W146" i="5" s="1"/>
  <c r="V148" i="5"/>
  <c r="U148" i="5"/>
  <c r="T148" i="5"/>
  <c r="S148" i="5"/>
  <c r="R148" i="5"/>
  <c r="R146" i="5" s="1"/>
  <c r="Q148" i="5"/>
  <c r="P148" i="5"/>
  <c r="O148" i="5"/>
  <c r="O146" i="5" s="1"/>
  <c r="N148" i="5"/>
  <c r="M148" i="5"/>
  <c r="L148" i="5"/>
  <c r="K148" i="5"/>
  <c r="J148" i="5"/>
  <c r="J146" i="5" s="1"/>
  <c r="I148" i="5"/>
  <c r="H148" i="5"/>
  <c r="G148" i="5"/>
  <c r="G146" i="5" s="1"/>
  <c r="AL147" i="5"/>
  <c r="AK147" i="5"/>
  <c r="AV146" i="5"/>
  <c r="AT146" i="5"/>
  <c r="AS146" i="5"/>
  <c r="AR146" i="5"/>
  <c r="AQ146" i="5"/>
  <c r="AO146" i="5"/>
  <c r="AN146" i="5"/>
  <c r="AJ146" i="5"/>
  <c r="AI146" i="5"/>
  <c r="AG146" i="5"/>
  <c r="AF146" i="5"/>
  <c r="AD146" i="5"/>
  <c r="AC146" i="5"/>
  <c r="AB146" i="5"/>
  <c r="AA146" i="5"/>
  <c r="Y146" i="5"/>
  <c r="X146" i="5"/>
  <c r="V146" i="5"/>
  <c r="U146" i="5"/>
  <c r="T146" i="5"/>
  <c r="S146" i="5"/>
  <c r="Q146" i="5"/>
  <c r="P146" i="5"/>
  <c r="N146" i="5"/>
  <c r="M146" i="5"/>
  <c r="L146" i="5"/>
  <c r="K146" i="5"/>
  <c r="I146" i="5"/>
  <c r="H146" i="5"/>
  <c r="AL143" i="5"/>
  <c r="AK143" i="5"/>
  <c r="AL142" i="5"/>
  <c r="AK142" i="5"/>
  <c r="AL141" i="5"/>
  <c r="AK141" i="5"/>
  <c r="AL140" i="5"/>
  <c r="AK140" i="5"/>
  <c r="AL139" i="5"/>
  <c r="AK139" i="5"/>
  <c r="AL138" i="5"/>
  <c r="AK138" i="5"/>
  <c r="AL137" i="5"/>
  <c r="AK137" i="5"/>
  <c r="AL136" i="5"/>
  <c r="AK136" i="5"/>
  <c r="AL135" i="5"/>
  <c r="AK135" i="5"/>
  <c r="AL134" i="5"/>
  <c r="AK134" i="5"/>
  <c r="AL133" i="5"/>
  <c r="AK133" i="5"/>
  <c r="AL132" i="5"/>
  <c r="AK132" i="5"/>
  <c r="AL131" i="5"/>
  <c r="AK131" i="5"/>
  <c r="AL130" i="5"/>
  <c r="AK130" i="5"/>
  <c r="AL129" i="5"/>
  <c r="AK129" i="5"/>
  <c r="AL128" i="5"/>
  <c r="AK128" i="5"/>
  <c r="AL127" i="5"/>
  <c r="AK127" i="5"/>
  <c r="AL126" i="5"/>
  <c r="AK126" i="5"/>
  <c r="AL125" i="5"/>
  <c r="AK125" i="5"/>
  <c r="AL124" i="5"/>
  <c r="AK124" i="5"/>
  <c r="AL123" i="5"/>
  <c r="AK123" i="5"/>
  <c r="AL122" i="5"/>
  <c r="AK122" i="5"/>
  <c r="AL121" i="5"/>
  <c r="AK121" i="5"/>
  <c r="AL120" i="5"/>
  <c r="AK120" i="5"/>
  <c r="AL119" i="5"/>
  <c r="AK119" i="5"/>
  <c r="AL118" i="5"/>
  <c r="AK118" i="5"/>
  <c r="AL117" i="5"/>
  <c r="AK117" i="5"/>
  <c r="AL116" i="5"/>
  <c r="AK116" i="5"/>
  <c r="AL115" i="5"/>
  <c r="AK115" i="5"/>
  <c r="AL114" i="5"/>
  <c r="AK114" i="5"/>
  <c r="AL113" i="5"/>
  <c r="AK113" i="5"/>
  <c r="AL112" i="5"/>
  <c r="AK112" i="5"/>
  <c r="AL111" i="5"/>
  <c r="AK111" i="5"/>
  <c r="AL110" i="5"/>
  <c r="AK110" i="5"/>
  <c r="AK109" i="5" s="1"/>
  <c r="AV109" i="5"/>
  <c r="AU109" i="5"/>
  <c r="AT109" i="5"/>
  <c r="AS109" i="5"/>
  <c r="AR109" i="5"/>
  <c r="AR107" i="5" s="1"/>
  <c r="AQ109" i="5"/>
  <c r="AP109" i="5"/>
  <c r="AO109" i="5"/>
  <c r="AO107" i="5" s="1"/>
  <c r="AN109" i="5"/>
  <c r="AM109" i="5"/>
  <c r="AJ109" i="5"/>
  <c r="AJ107" i="5" s="1"/>
  <c r="AI109" i="5"/>
  <c r="AH109" i="5"/>
  <c r="AG109" i="5"/>
  <c r="AG107" i="5" s="1"/>
  <c r="AF109" i="5"/>
  <c r="AE109" i="5"/>
  <c r="AD109" i="5"/>
  <c r="AC109" i="5"/>
  <c r="AB109" i="5"/>
  <c r="AB107" i="5" s="1"/>
  <c r="AA109" i="5"/>
  <c r="Z109" i="5"/>
  <c r="Y109" i="5"/>
  <c r="Y107" i="5" s="1"/>
  <c r="X109" i="5"/>
  <c r="W109" i="5"/>
  <c r="V109" i="5"/>
  <c r="U109" i="5"/>
  <c r="T109" i="5"/>
  <c r="T107" i="5" s="1"/>
  <c r="S109" i="5"/>
  <c r="R109" i="5"/>
  <c r="Q109" i="5"/>
  <c r="Q107" i="5" s="1"/>
  <c r="P109" i="5"/>
  <c r="O109" i="5"/>
  <c r="N109" i="5"/>
  <c r="M109" i="5"/>
  <c r="L109" i="5"/>
  <c r="L107" i="5" s="1"/>
  <c r="K109" i="5"/>
  <c r="J109" i="5"/>
  <c r="I109" i="5"/>
  <c r="I107" i="5" s="1"/>
  <c r="H109" i="5"/>
  <c r="G109" i="5"/>
  <c r="AL108" i="5"/>
  <c r="AK108" i="5"/>
  <c r="AV107" i="5"/>
  <c r="AU107" i="5"/>
  <c r="AT107" i="5"/>
  <c r="AS107" i="5"/>
  <c r="AQ107" i="5"/>
  <c r="AP107" i="5"/>
  <c r="AN107" i="5"/>
  <c r="AM107" i="5"/>
  <c r="AI107" i="5"/>
  <c r="AH107" i="5"/>
  <c r="AF107" i="5"/>
  <c r="AE107" i="5"/>
  <c r="AD107" i="5"/>
  <c r="AC107" i="5"/>
  <c r="AA107" i="5"/>
  <c r="Z107" i="5"/>
  <c r="X107" i="5"/>
  <c r="W107" i="5"/>
  <c r="V107" i="5"/>
  <c r="U107" i="5"/>
  <c r="S107" i="5"/>
  <c r="R107" i="5"/>
  <c r="P107" i="5"/>
  <c r="O107" i="5"/>
  <c r="N107" i="5"/>
  <c r="M107" i="5"/>
  <c r="K107" i="5"/>
  <c r="J107" i="5"/>
  <c r="H107" i="5"/>
  <c r="G107" i="5"/>
  <c r="AL102" i="5"/>
  <c r="AK102" i="5"/>
  <c r="AL101" i="5"/>
  <c r="AK101" i="5"/>
  <c r="AL100" i="5"/>
  <c r="AK100" i="5"/>
  <c r="AL99" i="5"/>
  <c r="AK99" i="5"/>
  <c r="AL98" i="5"/>
  <c r="AK98" i="5"/>
  <c r="AL97" i="5"/>
  <c r="AK97" i="5"/>
  <c r="AL96" i="5"/>
  <c r="AK96" i="5"/>
  <c r="AL95" i="5"/>
  <c r="AK95" i="5"/>
  <c r="AL94" i="5"/>
  <c r="AK94" i="5"/>
  <c r="AL93" i="5"/>
  <c r="AK93" i="5"/>
  <c r="AL92" i="5"/>
  <c r="AK92" i="5"/>
  <c r="AL91" i="5"/>
  <c r="AK91" i="5"/>
  <c r="AL90" i="5"/>
  <c r="AK90" i="5"/>
  <c r="AL89" i="5"/>
  <c r="AK89" i="5"/>
  <c r="AL88" i="5"/>
  <c r="AK88" i="5"/>
  <c r="AK87" i="5"/>
  <c r="AL86" i="5"/>
  <c r="AK86" i="5"/>
  <c r="AL85" i="5"/>
  <c r="AK85" i="5"/>
  <c r="AL84" i="5"/>
  <c r="AK84" i="5"/>
  <c r="AL83" i="5"/>
  <c r="AK83" i="5"/>
  <c r="AL82" i="5"/>
  <c r="AK82" i="5"/>
  <c r="AL81" i="5"/>
  <c r="AK81" i="5"/>
  <c r="AL80" i="5"/>
  <c r="AK80" i="5"/>
  <c r="AL79" i="5"/>
  <c r="AK79" i="5"/>
  <c r="AL78" i="5"/>
  <c r="AK78" i="5"/>
  <c r="AL77" i="5"/>
  <c r="AK77" i="5"/>
  <c r="AL76" i="5"/>
  <c r="AK76" i="5"/>
  <c r="AL75" i="5"/>
  <c r="AK75" i="5"/>
  <c r="AL74" i="5"/>
  <c r="AK74" i="5"/>
  <c r="AL73" i="5"/>
  <c r="AK73" i="5"/>
  <c r="AL72" i="5"/>
  <c r="AK72" i="5"/>
  <c r="AL71" i="5"/>
  <c r="AK71" i="5"/>
  <c r="AL70" i="5"/>
  <c r="AK70" i="5"/>
  <c r="AL69" i="5"/>
  <c r="AK69" i="5"/>
  <c r="AL68" i="5"/>
  <c r="AK68" i="5"/>
  <c r="AL67" i="5"/>
  <c r="AK67" i="5"/>
  <c r="AL66" i="5"/>
  <c r="AK66" i="5"/>
  <c r="AL65" i="5"/>
  <c r="AK65" i="5"/>
  <c r="AL64" i="5"/>
  <c r="AK64" i="5"/>
  <c r="AL63" i="5"/>
  <c r="AK63" i="5"/>
  <c r="AL62" i="5"/>
  <c r="AK62" i="5"/>
  <c r="AL61" i="5"/>
  <c r="AK61" i="5"/>
  <c r="AL60" i="5"/>
  <c r="AK60" i="5"/>
  <c r="AL59" i="5"/>
  <c r="AK59" i="5"/>
  <c r="AL58" i="5"/>
  <c r="AK58" i="5"/>
  <c r="AL57" i="5"/>
  <c r="AK57" i="5"/>
  <c r="AL56" i="5"/>
  <c r="AK56" i="5"/>
  <c r="AL55" i="5"/>
  <c r="AK55" i="5"/>
  <c r="AL54" i="5"/>
  <c r="AK54" i="5"/>
  <c r="AL53" i="5"/>
  <c r="AK53" i="5"/>
  <c r="AL52" i="5"/>
  <c r="AK52" i="5"/>
  <c r="AL51" i="5"/>
  <c r="AK51" i="5"/>
  <c r="AL50" i="5"/>
  <c r="AK50" i="5"/>
  <c r="AL49" i="5"/>
  <c r="AK49" i="5"/>
  <c r="AL48" i="5"/>
  <c r="AK48" i="5"/>
  <c r="AL47" i="5"/>
  <c r="AK47" i="5"/>
  <c r="AK46" i="5"/>
  <c r="H46" i="5"/>
  <c r="AL45" i="5"/>
  <c r="AK45" i="5"/>
  <c r="AL44" i="5"/>
  <c r="AK44" i="5"/>
  <c r="AL43" i="5"/>
  <c r="AK43" i="5"/>
  <c r="AL42" i="5"/>
  <c r="AK42" i="5"/>
  <c r="AL41" i="5"/>
  <c r="AK41" i="5"/>
  <c r="AL40" i="5"/>
  <c r="AK40" i="5"/>
  <c r="AL39" i="5"/>
  <c r="AK39" i="5"/>
  <c r="AL38" i="5"/>
  <c r="AK38" i="5"/>
  <c r="AL37" i="5"/>
  <c r="AK37" i="5"/>
  <c r="AL36" i="5"/>
  <c r="AK36" i="5"/>
  <c r="AL35" i="5"/>
  <c r="AK35" i="5"/>
  <c r="AL34" i="5"/>
  <c r="AK34" i="5"/>
  <c r="AV33" i="5"/>
  <c r="AV30" i="5" s="1"/>
  <c r="AU33" i="5"/>
  <c r="AT33" i="5"/>
  <c r="AS33" i="5"/>
  <c r="AR33" i="5"/>
  <c r="AQ33" i="5"/>
  <c r="AQ30" i="5" s="1"/>
  <c r="AQ29" i="5" s="1"/>
  <c r="AP33" i="5"/>
  <c r="AO33" i="5"/>
  <c r="AN33" i="5"/>
  <c r="AN30" i="5" s="1"/>
  <c r="AM33" i="5"/>
  <c r="AJ33" i="5"/>
  <c r="AI33" i="5"/>
  <c r="AI30" i="5" s="1"/>
  <c r="AH33" i="5"/>
  <c r="AG33" i="5"/>
  <c r="AF33" i="5"/>
  <c r="AF30" i="5" s="1"/>
  <c r="AF29" i="5" s="1"/>
  <c r="AE33" i="5"/>
  <c r="AD33" i="5"/>
  <c r="AC33" i="5"/>
  <c r="AB33" i="5"/>
  <c r="AA33" i="5"/>
  <c r="AA30" i="5" s="1"/>
  <c r="Z33" i="5"/>
  <c r="Y33" i="5"/>
  <c r="X33" i="5"/>
  <c r="X30" i="5" s="1"/>
  <c r="X29" i="5" s="1"/>
  <c r="W33" i="5"/>
  <c r="V33" i="5"/>
  <c r="U33" i="5"/>
  <c r="T33" i="5"/>
  <c r="S33" i="5"/>
  <c r="S30" i="5" s="1"/>
  <c r="S29" i="5" s="1"/>
  <c r="R33" i="5"/>
  <c r="Q33" i="5"/>
  <c r="P33" i="5"/>
  <c r="P30" i="5" s="1"/>
  <c r="P29" i="5" s="1"/>
  <c r="O33" i="5"/>
  <c r="N33" i="5"/>
  <c r="M33" i="5"/>
  <c r="L33" i="5"/>
  <c r="K33" i="5"/>
  <c r="K30" i="5" s="1"/>
  <c r="K29" i="5" s="1"/>
  <c r="J33" i="5"/>
  <c r="I33" i="5"/>
  <c r="H33" i="5"/>
  <c r="H30" i="5" s="1"/>
  <c r="H29" i="5" s="1"/>
  <c r="G33" i="5"/>
  <c r="AL31" i="5"/>
  <c r="AK31" i="5"/>
  <c r="AU30" i="5"/>
  <c r="AT30" i="5"/>
  <c r="AS30" i="5"/>
  <c r="AR30" i="5"/>
  <c r="AP30" i="5"/>
  <c r="AO30" i="5"/>
  <c r="AM30" i="5"/>
  <c r="AJ30" i="5"/>
  <c r="AH30" i="5"/>
  <c r="AG30" i="5"/>
  <c r="AE30" i="5"/>
  <c r="AD30" i="5"/>
  <c r="AC30" i="5"/>
  <c r="AB30" i="5"/>
  <c r="Z30" i="5"/>
  <c r="Y30" i="5"/>
  <c r="W30" i="5"/>
  <c r="V30" i="5"/>
  <c r="U30" i="5"/>
  <c r="T30" i="5"/>
  <c r="R30" i="5"/>
  <c r="Q30" i="5"/>
  <c r="O30" i="5"/>
  <c r="N30" i="5"/>
  <c r="M30" i="5"/>
  <c r="L30" i="5"/>
  <c r="J30" i="5"/>
  <c r="I30" i="5"/>
  <c r="G30" i="5"/>
  <c r="AP28" i="5"/>
  <c r="AM28" i="5"/>
  <c r="AI28" i="5"/>
  <c r="AJ28" i="5" s="1"/>
  <c r="AJ27" i="5" s="1"/>
  <c r="AA28" i="5"/>
  <c r="X28" i="5"/>
  <c r="AH28" i="5" s="1"/>
  <c r="AH27" i="5" s="1"/>
  <c r="AP27" i="5"/>
  <c r="AN27" i="5"/>
  <c r="AM27" i="5"/>
  <c r="AI27" i="5"/>
  <c r="AG27" i="5"/>
  <c r="AF27" i="5"/>
  <c r="AE27" i="5"/>
  <c r="AD27" i="5"/>
  <c r="AC27" i="5"/>
  <c r="AB27" i="5"/>
  <c r="AA27" i="5"/>
  <c r="Z27" i="5"/>
  <c r="Y27" i="5"/>
  <c r="X27" i="5"/>
  <c r="W27" i="5"/>
  <c r="V27" i="5"/>
  <c r="U27" i="5"/>
  <c r="T27" i="5"/>
  <c r="S27" i="5"/>
  <c r="R27" i="5"/>
  <c r="Q27" i="5"/>
  <c r="P27" i="5"/>
  <c r="O27" i="5"/>
  <c r="N27" i="5"/>
  <c r="M27" i="5"/>
  <c r="L27" i="5"/>
  <c r="K27" i="5"/>
  <c r="J27" i="5"/>
  <c r="I27" i="5"/>
  <c r="H27" i="5"/>
  <c r="G27" i="5"/>
  <c r="AP26" i="5"/>
  <c r="AM26" i="5"/>
  <c r="AI26" i="5"/>
  <c r="AJ26" i="5" s="1"/>
  <c r="AA26" i="5"/>
  <c r="X26" i="5"/>
  <c r="AH26" i="5" s="1"/>
  <c r="G26" i="5"/>
  <c r="AP25" i="5"/>
  <c r="AM25" i="5"/>
  <c r="AI25" i="5"/>
  <c r="AJ25" i="5" s="1"/>
  <c r="AA25" i="5"/>
  <c r="X25" i="5"/>
  <c r="AH25" i="5" s="1"/>
  <c r="AP24" i="5"/>
  <c r="AN24" i="5"/>
  <c r="AM24" i="5" s="1"/>
  <c r="AA24" i="5"/>
  <c r="Y24" i="5"/>
  <c r="AI24" i="5" s="1"/>
  <c r="AJ24" i="5" s="1"/>
  <c r="X24" i="5"/>
  <c r="AH24" i="5" s="1"/>
  <c r="G24" i="5"/>
  <c r="AP23" i="5"/>
  <c r="AM23" i="5"/>
  <c r="AJ23" i="5"/>
  <c r="AI23" i="5"/>
  <c r="AA23" i="5"/>
  <c r="X23" i="5"/>
  <c r="AH23" i="5" s="1"/>
  <c r="G23" i="5"/>
  <c r="AP22" i="5"/>
  <c r="AJ22" i="5"/>
  <c r="AI22" i="5"/>
  <c r="AH22" i="5"/>
  <c r="AA22" i="5"/>
  <c r="H22" i="5"/>
  <c r="AP21" i="5"/>
  <c r="AM21" i="5"/>
  <c r="AI21" i="5"/>
  <c r="AJ21" i="5" s="1"/>
  <c r="AA21" i="5"/>
  <c r="X21" i="5"/>
  <c r="AH21" i="5" s="1"/>
  <c r="H21" i="5"/>
  <c r="AP20" i="5"/>
  <c r="AM20" i="5"/>
  <c r="AI20" i="5"/>
  <c r="AJ20" i="5" s="1"/>
  <c r="AA20" i="5"/>
  <c r="X20" i="5"/>
  <c r="AH20" i="5" s="1"/>
  <c r="H20" i="5"/>
  <c r="AP19" i="5"/>
  <c r="AM19" i="5"/>
  <c r="AI19" i="5"/>
  <c r="AJ19" i="5" s="1"/>
  <c r="AA19" i="5"/>
  <c r="X19" i="5"/>
  <c r="AH19" i="5" s="1"/>
  <c r="H19" i="5"/>
  <c r="AP18" i="5"/>
  <c r="AP17" i="5" s="1"/>
  <c r="AP16" i="5" s="1"/>
  <c r="AM18" i="5"/>
  <c r="AI18" i="5"/>
  <c r="AA18" i="5"/>
  <c r="X18" i="5"/>
  <c r="AH18" i="5" s="1"/>
  <c r="AV17" i="5"/>
  <c r="AT17" i="5"/>
  <c r="AS17" i="5"/>
  <c r="AN17" i="5"/>
  <c r="AN16" i="5" s="1"/>
  <c r="AG17" i="5"/>
  <c r="AF17" i="5"/>
  <c r="AE17" i="5"/>
  <c r="AD17" i="5"/>
  <c r="AD16" i="5" s="1"/>
  <c r="AC17" i="5"/>
  <c r="AC16" i="5" s="1"/>
  <c r="AB17" i="5"/>
  <c r="AA17" i="5"/>
  <c r="Z17" i="5"/>
  <c r="Y17" i="5"/>
  <c r="W17" i="5"/>
  <c r="V17" i="5"/>
  <c r="V16" i="5" s="1"/>
  <c r="U17" i="5"/>
  <c r="U16" i="5" s="1"/>
  <c r="T17" i="5"/>
  <c r="S17" i="5"/>
  <c r="R17" i="5"/>
  <c r="Q17" i="5"/>
  <c r="P17" i="5"/>
  <c r="O17" i="5"/>
  <c r="N17" i="5"/>
  <c r="N16" i="5" s="1"/>
  <c r="M17" i="5"/>
  <c r="M16" i="5" s="1"/>
  <c r="L17" i="5"/>
  <c r="K17" i="5"/>
  <c r="J17" i="5"/>
  <c r="I17" i="5"/>
  <c r="H17" i="5"/>
  <c r="AR16" i="5"/>
  <c r="AQ16" i="5"/>
  <c r="AQ15" i="5" s="1"/>
  <c r="AQ14" i="5" s="1"/>
  <c r="AG16" i="5"/>
  <c r="AF16" i="5"/>
  <c r="Z16" i="5"/>
  <c r="Y16" i="5"/>
  <c r="R16" i="5"/>
  <c r="Q16" i="5"/>
  <c r="P16" i="5"/>
  <c r="J16" i="5"/>
  <c r="I16" i="5"/>
  <c r="H16" i="5"/>
  <c r="AV15" i="5"/>
  <c r="AV14" i="5" s="1"/>
  <c r="AU15" i="5"/>
  <c r="AU14" i="5" s="1"/>
  <c r="BB7" i="5"/>
  <c r="BA7" i="5"/>
  <c r="AZ7" i="5"/>
  <c r="AC15" i="5" l="1"/>
  <c r="AC14" i="5" s="1"/>
  <c r="AI17" i="5"/>
  <c r="AI16" i="5" s="1"/>
  <c r="G17" i="5"/>
  <c r="G16" i="5" s="1"/>
  <c r="K16" i="5"/>
  <c r="O16" i="5"/>
  <c r="S16" i="5"/>
  <c r="S15" i="5" s="1"/>
  <c r="S14" i="5" s="1"/>
  <c r="W16" i="5"/>
  <c r="AA16" i="5"/>
  <c r="AE16" i="5"/>
  <c r="H15" i="5"/>
  <c r="H14" i="5" s="1"/>
  <c r="P15" i="5"/>
  <c r="P14" i="5" s="1"/>
  <c r="AF15" i="5"/>
  <c r="AF14" i="5" s="1"/>
  <c r="AN29" i="5"/>
  <c r="AL33" i="5"/>
  <c r="AL30" i="5" s="1"/>
  <c r="M29" i="5"/>
  <c r="U29" i="5"/>
  <c r="AC29" i="5"/>
  <c r="AS29" i="5"/>
  <c r="I29" i="5"/>
  <c r="AO29" i="5"/>
  <c r="AO15" i="5" s="1"/>
  <c r="AO14" i="5" s="1"/>
  <c r="AK107" i="5"/>
  <c r="AP29" i="5"/>
  <c r="AP15" i="5" s="1"/>
  <c r="AP14" i="5" s="1"/>
  <c r="AL146" i="5"/>
  <c r="AL209" i="5"/>
  <c r="AL207" i="5" s="1"/>
  <c r="AK372" i="5"/>
  <c r="AK370" i="5" s="1"/>
  <c r="AT425" i="5"/>
  <c r="AL509" i="5"/>
  <c r="AL586" i="5"/>
  <c r="AL585" i="5" s="1"/>
  <c r="M15" i="5"/>
  <c r="M14" i="5" s="1"/>
  <c r="AN15" i="5"/>
  <c r="AM17" i="5"/>
  <c r="AM16" i="5" s="1"/>
  <c r="AM15" i="5" s="1"/>
  <c r="AM14" i="5" s="1"/>
  <c r="L16" i="5"/>
  <c r="T16" i="5"/>
  <c r="T15" i="5" s="1"/>
  <c r="T14" i="5" s="1"/>
  <c r="AB16" i="5"/>
  <c r="AK30" i="5"/>
  <c r="AK33" i="5"/>
  <c r="T29" i="5"/>
  <c r="AB29" i="5"/>
  <c r="AJ29" i="5"/>
  <c r="AL109" i="5"/>
  <c r="AL107" i="5" s="1"/>
  <c r="V29" i="5"/>
  <c r="V15" i="5" s="1"/>
  <c r="V14" i="5" s="1"/>
  <c r="AD29" i="5"/>
  <c r="AD15" i="5" s="1"/>
  <c r="AD14" i="5" s="1"/>
  <c r="AK148" i="5"/>
  <c r="AK146" i="5" s="1"/>
  <c r="AK209" i="5"/>
  <c r="AK207" i="5" s="1"/>
  <c r="AL372" i="5"/>
  <c r="AL370" i="5" s="1"/>
  <c r="AK427" i="5"/>
  <c r="AK425" i="5" s="1"/>
  <c r="AK29" i="5" s="1"/>
  <c r="AK15" i="5" s="1"/>
  <c r="AK14" i="5" s="1"/>
  <c r="AK509" i="5"/>
  <c r="AK507" i="5" s="1"/>
  <c r="I15" i="5"/>
  <c r="I14" i="5" s="1"/>
  <c r="U15" i="5"/>
  <c r="U14" i="5" s="1"/>
  <c r="N29" i="5"/>
  <c r="N15" i="5" s="1"/>
  <c r="N14" i="5" s="1"/>
  <c r="AM29" i="5"/>
  <c r="Y29" i="5"/>
  <c r="Y15" i="5" s="1"/>
  <c r="Y14" i="5" s="1"/>
  <c r="Q29" i="5"/>
  <c r="Q15" i="5" s="1"/>
  <c r="Q14" i="5" s="1"/>
  <c r="AA29" i="5"/>
  <c r="AI29" i="5"/>
  <c r="AI15" i="5" s="1"/>
  <c r="AI14" i="5" s="1"/>
  <c r="AR29" i="5"/>
  <c r="AR15" i="5" s="1"/>
  <c r="G29" i="5"/>
  <c r="G15" i="5" s="1"/>
  <c r="G14" i="5" s="1"/>
  <c r="O29" i="5"/>
  <c r="W29" i="5"/>
  <c r="W15" i="5" s="1"/>
  <c r="W14" i="5" s="1"/>
  <c r="AE29" i="5"/>
  <c r="AE15" i="5" s="1"/>
  <c r="AE14" i="5" s="1"/>
  <c r="AG29" i="5"/>
  <c r="AG15" i="5" s="1"/>
  <c r="AG14" i="5" s="1"/>
  <c r="AH17" i="5"/>
  <c r="AH16" i="5" s="1"/>
  <c r="L29" i="5"/>
  <c r="K15" i="5"/>
  <c r="K14" i="5" s="1"/>
  <c r="AA15" i="5"/>
  <c r="AA14" i="5" s="1"/>
  <c r="AL507" i="5"/>
  <c r="AN14" i="5"/>
  <c r="L15" i="5"/>
  <c r="L14" i="5" s="1"/>
  <c r="J29" i="5"/>
  <c r="J15" i="5" s="1"/>
  <c r="J14" i="5" s="1"/>
  <c r="R29" i="5"/>
  <c r="R15" i="5" s="1"/>
  <c r="R14" i="5" s="1"/>
  <c r="Z29" i="5"/>
  <c r="Z15" i="5" s="1"/>
  <c r="Z14" i="5" s="1"/>
  <c r="AH29" i="5"/>
  <c r="AS601" i="5"/>
  <c r="O15" i="5"/>
  <c r="O14" i="5" s="1"/>
  <c r="AT29" i="5"/>
  <c r="AT15" i="5" s="1"/>
  <c r="AJ18" i="5"/>
  <c r="AJ17" i="5" s="1"/>
  <c r="AJ16" i="5" s="1"/>
  <c r="AJ15" i="5" s="1"/>
  <c r="AJ14" i="5" s="1"/>
  <c r="X17" i="5"/>
  <c r="X16" i="5" s="1"/>
  <c r="X15" i="5" s="1"/>
  <c r="X14" i="5" s="1"/>
  <c r="AL29" i="5" l="1"/>
  <c r="AL15" i="5" s="1"/>
  <c r="AL14" i="5" s="1"/>
  <c r="AS15" i="5"/>
  <c r="AS14" i="5" s="1"/>
  <c r="AB15" i="5"/>
  <c r="AB14" i="5" s="1"/>
  <c r="AR14" i="5"/>
  <c r="AX15" i="5"/>
  <c r="AY15" i="5" s="1"/>
  <c r="AX14" i="5"/>
  <c r="AH15" i="5"/>
  <c r="AH14" i="5" s="1"/>
  <c r="AT14" i="5"/>
  <c r="AY14" i="5" l="1"/>
  <c r="AZ14" i="5"/>
  <c r="AT342" i="4" l="1"/>
  <c r="AT341" i="4" s="1"/>
  <c r="AV341" i="4"/>
  <c r="AU341" i="4"/>
  <c r="AS341" i="4"/>
  <c r="AP341" i="4"/>
  <c r="AO341" i="4"/>
  <c r="AT340" i="4"/>
  <c r="AT338" i="4" s="1"/>
  <c r="AV338" i="4"/>
  <c r="AV301" i="4" s="1"/>
  <c r="AU338" i="4"/>
  <c r="AS338" i="4"/>
  <c r="AR338" i="4"/>
  <c r="AQ338" i="4"/>
  <c r="AP338" i="4"/>
  <c r="AO338" i="4"/>
  <c r="AY320" i="4"/>
  <c r="AX319" i="4"/>
  <c r="AX320" i="4" s="1"/>
  <c r="AV319" i="4"/>
  <c r="AU319" i="4"/>
  <c r="AT319" i="4"/>
  <c r="AS319" i="4"/>
  <c r="AR319" i="4"/>
  <c r="AQ319" i="4"/>
  <c r="AP319" i="4"/>
  <c r="AO319" i="4"/>
  <c r="AV316" i="4"/>
  <c r="AU316" i="4"/>
  <c r="AT316" i="4"/>
  <c r="AS316" i="4"/>
  <c r="AR316" i="4"/>
  <c r="AQ316" i="4"/>
  <c r="AP316" i="4"/>
  <c r="AO316" i="4"/>
  <c r="AV313" i="4"/>
  <c r="AU313" i="4"/>
  <c r="AT313" i="4"/>
  <c r="AS313" i="4"/>
  <c r="AR313" i="4"/>
  <c r="AQ313" i="4"/>
  <c r="AP313" i="4"/>
  <c r="AO313" i="4"/>
  <c r="AV309" i="4"/>
  <c r="AU309" i="4"/>
  <c r="AT309" i="4"/>
  <c r="AS309" i="4"/>
  <c r="AR309" i="4"/>
  <c r="AQ309" i="4"/>
  <c r="AP309" i="4"/>
  <c r="AO309" i="4"/>
  <c r="AV307" i="4"/>
  <c r="AU307" i="4"/>
  <c r="AT307" i="4"/>
  <c r="AS307" i="4"/>
  <c r="AR307" i="4"/>
  <c r="AQ307" i="4"/>
  <c r="AP307" i="4"/>
  <c r="AO307" i="4"/>
  <c r="AV302" i="4"/>
  <c r="AU302" i="4"/>
  <c r="AU301" i="4" s="1"/>
  <c r="AT302" i="4"/>
  <c r="AS302" i="4"/>
  <c r="AR302" i="4"/>
  <c r="AR301" i="4" s="1"/>
  <c r="AQ302" i="4"/>
  <c r="AP302" i="4"/>
  <c r="AP301" i="4" s="1"/>
  <c r="AO302" i="4"/>
  <c r="AN293" i="4"/>
  <c r="AN292" i="4" s="1"/>
  <c r="AM293" i="4"/>
  <c r="AV292" i="4"/>
  <c r="AU292" i="4"/>
  <c r="AT292" i="4"/>
  <c r="AS292" i="4"/>
  <c r="AR292" i="4"/>
  <c r="AQ292" i="4"/>
  <c r="AP292" i="4"/>
  <c r="AO292" i="4"/>
  <c r="AM292" i="4"/>
  <c r="AV257" i="4"/>
  <c r="AU257" i="4"/>
  <c r="AT257" i="4"/>
  <c r="AS257" i="4"/>
  <c r="AR257" i="4"/>
  <c r="AQ257" i="4"/>
  <c r="AP257" i="4"/>
  <c r="AO257" i="4"/>
  <c r="AN257" i="4"/>
  <c r="AM257" i="4"/>
  <c r="AV254" i="4"/>
  <c r="AU254" i="4"/>
  <c r="AU253" i="4" s="1"/>
  <c r="AT254" i="4"/>
  <c r="AT253" i="4" s="1"/>
  <c r="AS254" i="4"/>
  <c r="AR254" i="4"/>
  <c r="AR253" i="4" s="1"/>
  <c r="AQ254" i="4"/>
  <c r="AP254" i="4"/>
  <c r="AP253" i="4" s="1"/>
  <c r="AO254" i="4"/>
  <c r="AO253" i="4" s="1"/>
  <c r="AN254" i="4"/>
  <c r="AM254" i="4"/>
  <c r="AM253" i="4" s="1"/>
  <c r="AV253" i="4"/>
  <c r="AQ253" i="4"/>
  <c r="AN253" i="4"/>
  <c r="AV204" i="4"/>
  <c r="AV202" i="4" s="1"/>
  <c r="AU204" i="4"/>
  <c r="AU202" i="4" s="1"/>
  <c r="AT204" i="4"/>
  <c r="AT202" i="4" s="1"/>
  <c r="AS204" i="4"/>
  <c r="AS202" i="4" s="1"/>
  <c r="AR204" i="4"/>
  <c r="AQ204" i="4"/>
  <c r="AQ202" i="4" s="1"/>
  <c r="AP204" i="4"/>
  <c r="AP202" i="4" s="1"/>
  <c r="AO204" i="4"/>
  <c r="AO202" i="4" s="1"/>
  <c r="AN204" i="4"/>
  <c r="AN202" i="4" s="1"/>
  <c r="AM204" i="4"/>
  <c r="AR202" i="4"/>
  <c r="AM202" i="4"/>
  <c r="AV183" i="4"/>
  <c r="AU183" i="4"/>
  <c r="AU181" i="4" s="1"/>
  <c r="AT183" i="4"/>
  <c r="AT181" i="4" s="1"/>
  <c r="AS183" i="4"/>
  <c r="AR183" i="4"/>
  <c r="AR181" i="4" s="1"/>
  <c r="AQ183" i="4"/>
  <c r="AQ181" i="4" s="1"/>
  <c r="AP183" i="4"/>
  <c r="AP181" i="4" s="1"/>
  <c r="AO183" i="4"/>
  <c r="AO181" i="4" s="1"/>
  <c r="AN183" i="4"/>
  <c r="AM183" i="4"/>
  <c r="AM181" i="4" s="1"/>
  <c r="AV181" i="4"/>
  <c r="AS181" i="4"/>
  <c r="AN181" i="4"/>
  <c r="AV145" i="4"/>
  <c r="AV143" i="4" s="1"/>
  <c r="AU145" i="4"/>
  <c r="AU143" i="4" s="1"/>
  <c r="AT145" i="4"/>
  <c r="AT143" i="4" s="1"/>
  <c r="AS145" i="4"/>
  <c r="AS143" i="4" s="1"/>
  <c r="AR145" i="4"/>
  <c r="AQ145" i="4"/>
  <c r="AQ143" i="4" s="1"/>
  <c r="AP145" i="4"/>
  <c r="AP143" i="4" s="1"/>
  <c r="AO145" i="4"/>
  <c r="AO143" i="4" s="1"/>
  <c r="AN145" i="4"/>
  <c r="AN143" i="4" s="1"/>
  <c r="AM145" i="4"/>
  <c r="AR143" i="4"/>
  <c r="AM143" i="4"/>
  <c r="AT140" i="4"/>
  <c r="AT138" i="4"/>
  <c r="AT132" i="4"/>
  <c r="AT131" i="4"/>
  <c r="AT130" i="4"/>
  <c r="AT129" i="4"/>
  <c r="AT128" i="4"/>
  <c r="AT127" i="4"/>
  <c r="AT126" i="4"/>
  <c r="AV124" i="4"/>
  <c r="AV122" i="4" s="1"/>
  <c r="AU124" i="4"/>
  <c r="AU122" i="4" s="1"/>
  <c r="AS124" i="4"/>
  <c r="AS122" i="4" s="1"/>
  <c r="AR124" i="4"/>
  <c r="AQ124" i="4"/>
  <c r="AQ122" i="4" s="1"/>
  <c r="AP124" i="4"/>
  <c r="AP122" i="4" s="1"/>
  <c r="AO124" i="4"/>
  <c r="AN124" i="4"/>
  <c r="AN122" i="4" s="1"/>
  <c r="AM124" i="4"/>
  <c r="AM122" i="4" s="1"/>
  <c r="AR122" i="4"/>
  <c r="AO122" i="4"/>
  <c r="AT89" i="4"/>
  <c r="AS89" i="4"/>
  <c r="AN89" i="4"/>
  <c r="AN87" i="4" s="1"/>
  <c r="AM89" i="4"/>
  <c r="AM87" i="4" s="1"/>
  <c r="AT87" i="4"/>
  <c r="AS87" i="4"/>
  <c r="AT83" i="4"/>
  <c r="AT76" i="4"/>
  <c r="AT75" i="4"/>
  <c r="AT73" i="4"/>
  <c r="AT71" i="4"/>
  <c r="AT70" i="4"/>
  <c r="AT67" i="4"/>
  <c r="AT66" i="4"/>
  <c r="AT65" i="4"/>
  <c r="AT64" i="4"/>
  <c r="AT63" i="4"/>
  <c r="AT61" i="4" s="1"/>
  <c r="AT59" i="4" s="1"/>
  <c r="AV61" i="4"/>
  <c r="AU61" i="4"/>
  <c r="AU59" i="4" s="1"/>
  <c r="AS61" i="4"/>
  <c r="AR61" i="4"/>
  <c r="AR59" i="4" s="1"/>
  <c r="AQ61" i="4"/>
  <c r="AQ59" i="4" s="1"/>
  <c r="AP61" i="4"/>
  <c r="AP59" i="4" s="1"/>
  <c r="AO61" i="4"/>
  <c r="AO59" i="4" s="1"/>
  <c r="AN61" i="4"/>
  <c r="AM61" i="4"/>
  <c r="AM59" i="4" s="1"/>
  <c r="AV59" i="4"/>
  <c r="AS59" i="4"/>
  <c r="AN59" i="4"/>
  <c r="AV19" i="4"/>
  <c r="AV17" i="4" s="1"/>
  <c r="AU19" i="4"/>
  <c r="AU17" i="4" s="1"/>
  <c r="AT19" i="4"/>
  <c r="AS19" i="4"/>
  <c r="AS17" i="4" s="1"/>
  <c r="AR19" i="4"/>
  <c r="AQ19" i="4"/>
  <c r="AP19" i="4"/>
  <c r="AP17" i="4" s="1"/>
  <c r="AO19" i="4"/>
  <c r="AO17" i="4" s="1"/>
  <c r="AN19" i="4"/>
  <c r="AN17" i="4" s="1"/>
  <c r="AM19" i="4"/>
  <c r="AM17" i="4" s="1"/>
  <c r="AT17" i="4"/>
  <c r="AR17" i="4"/>
  <c r="AQ17" i="4"/>
  <c r="AX16" i="4"/>
  <c r="AL15" i="4"/>
  <c r="AK15" i="4"/>
  <c r="AJ15" i="4"/>
  <c r="AI15" i="4"/>
  <c r="AH15" i="4"/>
  <c r="AG15" i="4"/>
  <c r="AF15" i="4"/>
  <c r="AE15" i="4"/>
  <c r="AD15" i="4"/>
  <c r="AC15" i="4"/>
  <c r="AB15" i="4"/>
  <c r="AA15" i="4"/>
  <c r="Z15" i="4"/>
  <c r="Y15" i="4"/>
  <c r="X15" i="4"/>
  <c r="W15" i="4"/>
  <c r="V15" i="4"/>
  <c r="U15" i="4"/>
  <c r="T15" i="4"/>
  <c r="S15" i="4"/>
  <c r="R15" i="4"/>
  <c r="Q15" i="4"/>
  <c r="P15" i="4"/>
  <c r="O15" i="4"/>
  <c r="N15" i="4"/>
  <c r="M15" i="4"/>
  <c r="L15" i="4"/>
  <c r="K15" i="4"/>
  <c r="J15" i="4"/>
  <c r="I15" i="4"/>
  <c r="H15" i="4"/>
  <c r="G15" i="4"/>
  <c r="AL14" i="4"/>
  <c r="AK14" i="4"/>
  <c r="AJ14" i="4"/>
  <c r="AI14" i="4"/>
  <c r="AH14" i="4"/>
  <c r="AG14" i="4"/>
  <c r="AF14" i="4"/>
  <c r="AE14" i="4"/>
  <c r="AD14" i="4"/>
  <c r="AC14" i="4"/>
  <c r="AB14" i="4"/>
  <c r="AA14" i="4"/>
  <c r="Z14" i="4"/>
  <c r="Y14" i="4"/>
  <c r="X14" i="4"/>
  <c r="W14" i="4"/>
  <c r="V14" i="4"/>
  <c r="U14" i="4"/>
  <c r="T14" i="4"/>
  <c r="S14" i="4"/>
  <c r="R14" i="4"/>
  <c r="Q14" i="4"/>
  <c r="P14" i="4"/>
  <c r="O14" i="4"/>
  <c r="N14" i="4"/>
  <c r="M14" i="4"/>
  <c r="L14" i="4"/>
  <c r="K14" i="4"/>
  <c r="J14" i="4"/>
  <c r="I14" i="4"/>
  <c r="H14" i="4"/>
  <c r="G14" i="4"/>
  <c r="BB7" i="4"/>
  <c r="BA7" i="4"/>
  <c r="AZ7" i="4"/>
  <c r="AS253" i="4" l="1"/>
  <c r="AS16" i="4" s="1"/>
  <c r="AS15" i="4" s="1"/>
  <c r="AS14" i="4" s="1"/>
  <c r="AO301" i="4"/>
  <c r="AQ301" i="4"/>
  <c r="AS301" i="4"/>
  <c r="AP16" i="4"/>
  <c r="AP15" i="4" s="1"/>
  <c r="AP14" i="4" s="1"/>
  <c r="AT124" i="4"/>
  <c r="AT122" i="4" s="1"/>
  <c r="AT16" i="4" s="1"/>
  <c r="AT15" i="4" s="1"/>
  <c r="AT14" i="4" s="1"/>
  <c r="AQ16" i="4"/>
  <c r="AQ15" i="4" s="1"/>
  <c r="AQ14" i="4" s="1"/>
  <c r="AR16" i="4"/>
  <c r="AR15" i="4" s="1"/>
  <c r="AR14" i="4" s="1"/>
  <c r="AU16" i="4"/>
  <c r="AU15" i="4" s="1"/>
  <c r="AU14" i="4" s="1"/>
  <c r="AO16" i="4"/>
  <c r="AO15" i="4" s="1"/>
  <c r="AO14" i="4" s="1"/>
  <c r="AM16" i="4"/>
  <c r="AM15" i="4" s="1"/>
  <c r="AM14" i="4" s="1"/>
  <c r="AN16" i="4"/>
  <c r="AV16" i="4"/>
  <c r="AV15" i="4" s="1"/>
  <c r="AV14" i="4" s="1"/>
  <c r="AT301" i="4"/>
  <c r="AX301" i="4" l="1"/>
  <c r="AY301" i="4" s="1"/>
  <c r="AN15" i="4"/>
  <c r="AN14" i="4" s="1"/>
  <c r="AX14" i="4" s="1"/>
  <c r="AY14" i="4" s="1"/>
  <c r="AX17" i="4"/>
  <c r="AX18" i="4" s="1"/>
  <c r="AW14" i="4" l="1"/>
  <c r="BC15" i="4" s="1"/>
  <c r="BE15" i="4" s="1"/>
  <c r="AT261" i="1"/>
  <c r="G264" i="1"/>
  <c r="H264" i="1"/>
  <c r="I264" i="1"/>
  <c r="J264" i="1"/>
  <c r="K264" i="1"/>
  <c r="L264" i="1"/>
  <c r="M264" i="1"/>
  <c r="N264" i="1"/>
  <c r="O264" i="1"/>
  <c r="P264" i="1"/>
  <c r="Q264" i="1"/>
  <c r="R264" i="1"/>
  <c r="S264" i="1"/>
  <c r="T264" i="1"/>
  <c r="U264" i="1"/>
  <c r="V264" i="1"/>
  <c r="W264" i="1"/>
  <c r="X264" i="1"/>
  <c r="Y264" i="1"/>
  <c r="Z264" i="1"/>
  <c r="AA264" i="1"/>
  <c r="AB264" i="1"/>
  <c r="AC264" i="1"/>
  <c r="AD264" i="1"/>
  <c r="AE264" i="1"/>
  <c r="AF264" i="1"/>
  <c r="AG264" i="1"/>
  <c r="AH264" i="1"/>
  <c r="AI264" i="1"/>
  <c r="AJ264" i="1"/>
  <c r="AK264" i="1"/>
  <c r="AL264" i="1"/>
  <c r="AM264" i="1"/>
  <c r="AN264" i="1"/>
  <c r="AO264" i="1"/>
  <c r="AP264" i="1"/>
  <c r="AQ264" i="1"/>
  <c r="AR264" i="1"/>
  <c r="AS264" i="1"/>
  <c r="AT264" i="1"/>
  <c r="AT288" i="1"/>
  <c r="AT287" i="1"/>
  <c r="AQ284" i="1"/>
  <c r="AQ283" i="1" s="1"/>
  <c r="AT283" i="1"/>
  <c r="AS283" i="1"/>
  <c r="AR283" i="1"/>
  <c r="AP283" i="1"/>
  <c r="AO283" i="1"/>
  <c r="AN283" i="1"/>
  <c r="AM283" i="1"/>
  <c r="AL283" i="1"/>
  <c r="AK283" i="1"/>
  <c r="AJ283" i="1"/>
  <c r="AI283" i="1"/>
  <c r="AH283" i="1"/>
  <c r="AG283" i="1"/>
  <c r="AF283" i="1"/>
  <c r="AE283" i="1"/>
  <c r="AD283" i="1"/>
  <c r="AC283" i="1"/>
  <c r="AB283" i="1"/>
  <c r="AA283" i="1"/>
  <c r="Z283" i="1"/>
  <c r="Y283" i="1"/>
  <c r="X283" i="1"/>
  <c r="W283" i="1"/>
  <c r="V283" i="1"/>
  <c r="U283" i="1"/>
  <c r="T283" i="1"/>
  <c r="S283" i="1"/>
  <c r="R283" i="1"/>
  <c r="Q283" i="1"/>
  <c r="P283" i="1"/>
  <c r="O283" i="1"/>
  <c r="N283" i="1"/>
  <c r="M283" i="1"/>
  <c r="L283" i="1"/>
  <c r="K283" i="1"/>
  <c r="J283" i="1"/>
  <c r="I283" i="1"/>
  <c r="H283" i="1"/>
  <c r="G283" i="1"/>
  <c r="AX284" i="1" l="1"/>
  <c r="AX283" i="1"/>
  <c r="AS40" i="1" l="1"/>
  <c r="AT111" i="1"/>
  <c r="AS111" i="1" s="1"/>
  <c r="AS104" i="1"/>
  <c r="AT170" i="1" l="1"/>
  <c r="AT174" i="1"/>
  <c r="AS174" i="1" s="1"/>
  <c r="AT173" i="1"/>
  <c r="AT172" i="1"/>
  <c r="AS151" i="1"/>
  <c r="AT145" i="1"/>
  <c r="AS145" i="1" s="1"/>
  <c r="AT144" i="1"/>
  <c r="AS144" i="1" s="1"/>
  <c r="AT110" i="1"/>
  <c r="AS110" i="1" s="1"/>
  <c r="AT98" i="1"/>
  <c r="AN42" i="1"/>
  <c r="AT42" i="1" s="1"/>
  <c r="AS42" i="1" s="1"/>
  <c r="AT33" i="1"/>
  <c r="AS33" i="1" s="1"/>
  <c r="AT32" i="1"/>
  <c r="AQ261" i="1" l="1"/>
  <c r="AX261" i="1" s="1"/>
  <c r="G278" i="1" l="1"/>
  <c r="H278" i="1"/>
  <c r="I278" i="1"/>
  <c r="J278" i="1"/>
  <c r="K278" i="1"/>
  <c r="L278" i="1"/>
  <c r="M278" i="1"/>
  <c r="N278" i="1"/>
  <c r="O278" i="1"/>
  <c r="P278" i="1"/>
  <c r="Q278" i="1"/>
  <c r="R278" i="1"/>
  <c r="S278" i="1"/>
  <c r="T278" i="1"/>
  <c r="U278" i="1"/>
  <c r="V278" i="1"/>
  <c r="W278" i="1"/>
  <c r="X278" i="1"/>
  <c r="Y278" i="1"/>
  <c r="Z278" i="1"/>
  <c r="AA278" i="1"/>
  <c r="AB278" i="1"/>
  <c r="AC278" i="1"/>
  <c r="AD278" i="1"/>
  <c r="AE278" i="1"/>
  <c r="AF278" i="1"/>
  <c r="AG278" i="1"/>
  <c r="AH278" i="1"/>
  <c r="AI278" i="1"/>
  <c r="AJ278" i="1"/>
  <c r="AK278" i="1"/>
  <c r="AL278" i="1"/>
  <c r="AM278" i="1"/>
  <c r="AN278" i="1"/>
  <c r="AO278" i="1"/>
  <c r="AP278" i="1"/>
  <c r="AR278" i="1"/>
  <c r="AT278" i="1"/>
  <c r="AQ280" i="1"/>
  <c r="AQ281" i="1"/>
  <c r="AQ279" i="1"/>
  <c r="AS281" i="1"/>
  <c r="AS280" i="1"/>
  <c r="AS279" i="1"/>
  <c r="AS278" i="1" l="1"/>
  <c r="AQ278" i="1"/>
  <c r="AX263" i="1"/>
  <c r="AX265" i="1"/>
  <c r="AX266" i="1"/>
  <c r="AX267" i="1"/>
  <c r="AX268" i="1"/>
  <c r="AX269" i="1"/>
  <c r="AX270" i="1"/>
  <c r="AX271" i="1"/>
  <c r="AX272" i="1"/>
  <c r="AX273" i="1"/>
  <c r="AX274" i="1"/>
  <c r="AX276" i="1"/>
  <c r="AX277" i="1"/>
  <c r="AX286" i="1"/>
  <c r="AX287" i="1"/>
  <c r="AX288" i="1"/>
  <c r="AX280" i="1"/>
  <c r="AX281" i="1" l="1"/>
  <c r="AS263" i="1" l="1"/>
  <c r="AT289" i="1"/>
  <c r="AS289" i="1" l="1"/>
  <c r="AS285" i="1" s="1"/>
  <c r="AS282" i="1" s="1"/>
  <c r="AX289" i="1"/>
  <c r="AT285" i="1"/>
  <c r="AT282" i="1" s="1"/>
  <c r="AR285" i="1"/>
  <c r="AR282" i="1" s="1"/>
  <c r="AQ285" i="1"/>
  <c r="AX285" i="1" l="1"/>
  <c r="AQ282" i="1"/>
  <c r="N261" i="1"/>
  <c r="N260" i="1" s="1"/>
  <c r="AR260" i="1"/>
  <c r="AP260" i="1"/>
  <c r="AO260" i="1"/>
  <c r="AN260" i="1"/>
  <c r="AM260" i="1"/>
  <c r="AL260" i="1"/>
  <c r="AK260" i="1"/>
  <c r="AJ260" i="1"/>
  <c r="AI260" i="1"/>
  <c r="AH260" i="1"/>
  <c r="AG260" i="1"/>
  <c r="AF260" i="1"/>
  <c r="AE260" i="1"/>
  <c r="AD260" i="1"/>
  <c r="AC260" i="1"/>
  <c r="AB260" i="1"/>
  <c r="AA260" i="1"/>
  <c r="Z260" i="1"/>
  <c r="Y260" i="1"/>
  <c r="X260" i="1"/>
  <c r="W260" i="1"/>
  <c r="V260" i="1"/>
  <c r="U260" i="1"/>
  <c r="T260" i="1"/>
  <c r="S260" i="1"/>
  <c r="R260" i="1"/>
  <c r="Q260" i="1"/>
  <c r="P260" i="1"/>
  <c r="O260" i="1"/>
  <c r="M260" i="1"/>
  <c r="L260" i="1"/>
  <c r="K260" i="1"/>
  <c r="J260" i="1"/>
  <c r="I260" i="1"/>
  <c r="H260" i="1"/>
  <c r="G260" i="1"/>
  <c r="AQ260" i="1" l="1"/>
  <c r="AY261" i="1"/>
  <c r="AS261" i="1"/>
  <c r="AS260" i="1" s="1"/>
  <c r="AT260" i="1"/>
  <c r="AS31" i="1" l="1"/>
  <c r="AS30" i="1"/>
  <c r="AK234" i="1"/>
  <c r="AK233" i="1" s="1"/>
  <c r="AT233" i="1"/>
  <c r="AS233" i="1"/>
  <c r="AN233" i="1"/>
  <c r="AM233" i="1"/>
  <c r="AL233" i="1"/>
  <c r="H233" i="1"/>
  <c r="G233" i="1"/>
  <c r="Y232" i="1"/>
  <c r="AL232" i="1" s="1"/>
  <c r="AL231" i="1"/>
  <c r="AL230" i="1"/>
  <c r="AL229" i="1"/>
  <c r="AL228" i="1"/>
  <c r="AL227" i="1"/>
  <c r="AL226" i="1"/>
  <c r="AL225" i="1"/>
  <c r="AL224" i="1"/>
  <c r="AL223" i="1"/>
  <c r="AT222" i="1"/>
  <c r="AS222" i="1"/>
  <c r="AN222" i="1"/>
  <c r="AM222" i="1"/>
  <c r="H222" i="1"/>
  <c r="H221" i="1" s="1"/>
  <c r="G222" i="1"/>
  <c r="AK221" i="1"/>
  <c r="AJ221" i="1"/>
  <c r="AI221" i="1"/>
  <c r="AH221" i="1"/>
  <c r="AG221" i="1"/>
  <c r="AF221" i="1"/>
  <c r="AE221" i="1"/>
  <c r="AD221" i="1"/>
  <c r="AC221" i="1"/>
  <c r="AB221" i="1"/>
  <c r="AA221" i="1"/>
  <c r="Z221" i="1"/>
  <c r="W221" i="1"/>
  <c r="V221" i="1"/>
  <c r="U221" i="1"/>
  <c r="T221" i="1"/>
  <c r="S221" i="1"/>
  <c r="R221" i="1"/>
  <c r="Q221" i="1"/>
  <c r="P221" i="1"/>
  <c r="O221" i="1"/>
  <c r="N221" i="1"/>
  <c r="M221" i="1"/>
  <c r="L221" i="1"/>
  <c r="K221" i="1"/>
  <c r="J221" i="1"/>
  <c r="I221" i="1"/>
  <c r="AL220" i="1"/>
  <c r="AL219" i="1"/>
  <c r="AL218" i="1"/>
  <c r="AL217" i="1"/>
  <c r="AL216" i="1"/>
  <c r="AL215" i="1"/>
  <c r="AT214" i="1"/>
  <c r="AT213" i="1" s="1"/>
  <c r="AT212" i="1" s="1"/>
  <c r="AN214" i="1"/>
  <c r="AN213" i="1" s="1"/>
  <c r="AN212" i="1" s="1"/>
  <c r="AM214" i="1"/>
  <c r="AM213" i="1" s="1"/>
  <c r="AM212" i="1" s="1"/>
  <c r="AK214" i="1"/>
  <c r="AJ214" i="1"/>
  <c r="AI214" i="1"/>
  <c r="AH214" i="1"/>
  <c r="AG214" i="1"/>
  <c r="AF214" i="1"/>
  <c r="AE214" i="1"/>
  <c r="AD214" i="1"/>
  <c r="AC214" i="1"/>
  <c r="AB214" i="1"/>
  <c r="AA214" i="1"/>
  <c r="Z214" i="1"/>
  <c r="Y214" i="1"/>
  <c r="X214" i="1"/>
  <c r="W214" i="1"/>
  <c r="V214" i="1"/>
  <c r="U214" i="1"/>
  <c r="T214" i="1"/>
  <c r="S214" i="1"/>
  <c r="R214" i="1"/>
  <c r="Q214" i="1"/>
  <c r="P214" i="1"/>
  <c r="O214" i="1"/>
  <c r="N214" i="1"/>
  <c r="M214" i="1"/>
  <c r="L214" i="1"/>
  <c r="K214" i="1"/>
  <c r="J214" i="1"/>
  <c r="I214" i="1"/>
  <c r="H214" i="1"/>
  <c r="H213" i="1" s="1"/>
  <c r="H212" i="1" s="1"/>
  <c r="G214" i="1"/>
  <c r="G213" i="1" s="1"/>
  <c r="G212" i="1" s="1"/>
  <c r="AS213" i="1"/>
  <c r="AS212" i="1" s="1"/>
  <c r="AK210" i="1"/>
  <c r="AK209" i="1"/>
  <c r="AT208" i="1"/>
  <c r="AN208" i="1"/>
  <c r="AK208" i="1" s="1"/>
  <c r="AJ208" i="1"/>
  <c r="AI208" i="1"/>
  <c r="AH208" i="1"/>
  <c r="AG208" i="1"/>
  <c r="AF208" i="1"/>
  <c r="AE208" i="1"/>
  <c r="AD208" i="1"/>
  <c r="AC208" i="1"/>
  <c r="AB208" i="1"/>
  <c r="AL207" i="1"/>
  <c r="AL206" i="1"/>
  <c r="AL205" i="1"/>
  <c r="AL204" i="1"/>
  <c r="AL203" i="1"/>
  <c r="AL202" i="1"/>
  <c r="AL201" i="1"/>
  <c r="AL200" i="1"/>
  <c r="AT199" i="1"/>
  <c r="AN199" i="1"/>
  <c r="AK199" i="1"/>
  <c r="AK198" i="1" s="1"/>
  <c r="AJ199" i="1"/>
  <c r="AJ198" i="1" s="1"/>
  <c r="AI199" i="1"/>
  <c r="AI198" i="1" s="1"/>
  <c r="AH199" i="1"/>
  <c r="AH198" i="1" s="1"/>
  <c r="AG199" i="1"/>
  <c r="AG198" i="1" s="1"/>
  <c r="AF199" i="1"/>
  <c r="AF198" i="1" s="1"/>
  <c r="AE199" i="1"/>
  <c r="AE198" i="1" s="1"/>
  <c r="AD199" i="1"/>
  <c r="AD198" i="1" s="1"/>
  <c r="AC199" i="1"/>
  <c r="AC198" i="1" s="1"/>
  <c r="AB199" i="1"/>
  <c r="AB198" i="1" s="1"/>
  <c r="AA199" i="1"/>
  <c r="AA198" i="1" s="1"/>
  <c r="Z199" i="1"/>
  <c r="Z198" i="1" s="1"/>
  <c r="Y199" i="1"/>
  <c r="Y198" i="1" s="1"/>
  <c r="X199" i="1"/>
  <c r="X198" i="1" s="1"/>
  <c r="W199" i="1"/>
  <c r="W198" i="1" s="1"/>
  <c r="V199" i="1"/>
  <c r="V198" i="1" s="1"/>
  <c r="U199" i="1"/>
  <c r="U198" i="1" s="1"/>
  <c r="T199" i="1"/>
  <c r="T198" i="1" s="1"/>
  <c r="S199" i="1"/>
  <c r="S198" i="1" s="1"/>
  <c r="R199" i="1"/>
  <c r="R198" i="1" s="1"/>
  <c r="Q199" i="1"/>
  <c r="Q198" i="1" s="1"/>
  <c r="P199" i="1"/>
  <c r="P198" i="1" s="1"/>
  <c r="O199" i="1"/>
  <c r="O198" i="1" s="1"/>
  <c r="N199" i="1"/>
  <c r="N198" i="1" s="1"/>
  <c r="M199" i="1"/>
  <c r="M198" i="1" s="1"/>
  <c r="L199" i="1"/>
  <c r="L198" i="1" s="1"/>
  <c r="K199" i="1"/>
  <c r="K198" i="1" s="1"/>
  <c r="J199" i="1"/>
  <c r="J198" i="1" s="1"/>
  <c r="I199" i="1"/>
  <c r="I198" i="1" s="1"/>
  <c r="H199" i="1"/>
  <c r="H198" i="1" s="1"/>
  <c r="G199" i="1"/>
  <c r="G198" i="1" s="1"/>
  <c r="AS198" i="1"/>
  <c r="AH197" i="1"/>
  <c r="AD197" i="1"/>
  <c r="AT196" i="1"/>
  <c r="AN196" i="1"/>
  <c r="AT195" i="1"/>
  <c r="AN195" i="1"/>
  <c r="AS193" i="1"/>
  <c r="AS192" i="1" s="1"/>
  <c r="AS191" i="1" s="1"/>
  <c r="AR193" i="1"/>
  <c r="AR192" i="1" s="1"/>
  <c r="AR191" i="1" s="1"/>
  <c r="AQ193" i="1"/>
  <c r="AQ192" i="1" s="1"/>
  <c r="AQ191" i="1" s="1"/>
  <c r="AP193" i="1"/>
  <c r="AP192" i="1" s="1"/>
  <c r="AP191" i="1" s="1"/>
  <c r="AP190" i="1" s="1"/>
  <c r="AP189" i="1" s="1"/>
  <c r="AO193" i="1"/>
  <c r="AO192" i="1" s="1"/>
  <c r="AO191" i="1" s="1"/>
  <c r="AO190" i="1" s="1"/>
  <c r="AO189" i="1" s="1"/>
  <c r="AM193" i="1"/>
  <c r="AM192" i="1" s="1"/>
  <c r="AM191" i="1" s="1"/>
  <c r="AM190" i="1" s="1"/>
  <c r="AL193" i="1"/>
  <c r="AL192" i="1" s="1"/>
  <c r="AL191" i="1" s="1"/>
  <c r="AK193" i="1"/>
  <c r="AK192" i="1" s="1"/>
  <c r="AK191" i="1" s="1"/>
  <c r="AJ193" i="1"/>
  <c r="AJ192" i="1" s="1"/>
  <c r="AJ191" i="1" s="1"/>
  <c r="AG193" i="1"/>
  <c r="AG192" i="1" s="1"/>
  <c r="AG191" i="1" s="1"/>
  <c r="AF193" i="1"/>
  <c r="AF192" i="1" s="1"/>
  <c r="AF191" i="1" s="1"/>
  <c r="AC193" i="1"/>
  <c r="AC192" i="1" s="1"/>
  <c r="AC191" i="1" s="1"/>
  <c r="AB193" i="1"/>
  <c r="AB192" i="1" s="1"/>
  <c r="AB191" i="1" s="1"/>
  <c r="AA193" i="1"/>
  <c r="AA192" i="1" s="1"/>
  <c r="AA191" i="1" s="1"/>
  <c r="Z193" i="1"/>
  <c r="Z192" i="1" s="1"/>
  <c r="Z191" i="1" s="1"/>
  <c r="Y193" i="1"/>
  <c r="Y192" i="1" s="1"/>
  <c r="Y191" i="1" s="1"/>
  <c r="X193" i="1"/>
  <c r="X192" i="1" s="1"/>
  <c r="X191" i="1" s="1"/>
  <c r="W193" i="1"/>
  <c r="W192" i="1" s="1"/>
  <c r="W191" i="1" s="1"/>
  <c r="V193" i="1"/>
  <c r="V192" i="1" s="1"/>
  <c r="V191" i="1" s="1"/>
  <c r="U193" i="1"/>
  <c r="U192" i="1" s="1"/>
  <c r="U191" i="1" s="1"/>
  <c r="T193" i="1"/>
  <c r="T192" i="1" s="1"/>
  <c r="T191" i="1" s="1"/>
  <c r="S193" i="1"/>
  <c r="S192" i="1" s="1"/>
  <c r="S191" i="1" s="1"/>
  <c r="R193" i="1"/>
  <c r="R192" i="1" s="1"/>
  <c r="R191" i="1" s="1"/>
  <c r="Q193" i="1"/>
  <c r="Q192" i="1" s="1"/>
  <c r="Q191" i="1" s="1"/>
  <c r="P193" i="1"/>
  <c r="P192" i="1" s="1"/>
  <c r="P191" i="1" s="1"/>
  <c r="O193" i="1"/>
  <c r="O192" i="1" s="1"/>
  <c r="O191" i="1" s="1"/>
  <c r="N193" i="1"/>
  <c r="N192" i="1" s="1"/>
  <c r="N191" i="1" s="1"/>
  <c r="M193" i="1"/>
  <c r="M192" i="1" s="1"/>
  <c r="M191" i="1" s="1"/>
  <c r="L193" i="1"/>
  <c r="L192" i="1" s="1"/>
  <c r="L191" i="1" s="1"/>
  <c r="K193" i="1"/>
  <c r="K192" i="1" s="1"/>
  <c r="K191" i="1" s="1"/>
  <c r="J193" i="1"/>
  <c r="J192" i="1" s="1"/>
  <c r="J191" i="1" s="1"/>
  <c r="I193" i="1"/>
  <c r="I192" i="1" s="1"/>
  <c r="I191" i="1" s="1"/>
  <c r="H193" i="1"/>
  <c r="H192" i="1" s="1"/>
  <c r="H191" i="1" s="1"/>
  <c r="G193" i="1"/>
  <c r="G192" i="1" s="1"/>
  <c r="G191" i="1" s="1"/>
  <c r="AU189" i="1"/>
  <c r="AR189" i="1"/>
  <c r="AQ189" i="1"/>
  <c r="AA211" i="1" l="1"/>
  <c r="M190" i="1"/>
  <c r="O190" i="1"/>
  <c r="AT193" i="1"/>
  <c r="AT192" i="1" s="1"/>
  <c r="AT191" i="1" s="1"/>
  <c r="AN193" i="1"/>
  <c r="AN192" i="1" s="1"/>
  <c r="AN191" i="1" s="1"/>
  <c r="AE211" i="1"/>
  <c r="AT198" i="1"/>
  <c r="AS190" i="1"/>
  <c r="P211" i="1"/>
  <c r="Z211" i="1"/>
  <c r="AH211" i="1"/>
  <c r="AC190" i="1"/>
  <c r="S211" i="1"/>
  <c r="U190" i="1"/>
  <c r="K211" i="1"/>
  <c r="AN198" i="1"/>
  <c r="G190" i="1"/>
  <c r="W190" i="1"/>
  <c r="L211" i="1"/>
  <c r="T211" i="1"/>
  <c r="M211" i="1"/>
  <c r="U211" i="1"/>
  <c r="AL199" i="1"/>
  <c r="AL198" i="1" s="1"/>
  <c r="AL190" i="1" s="1"/>
  <c r="Y190" i="1"/>
  <c r="K190" i="1"/>
  <c r="S190" i="1"/>
  <c r="AA190" i="1"/>
  <c r="W211" i="1"/>
  <c r="AI211" i="1"/>
  <c r="AD211" i="1"/>
  <c r="AC211" i="1"/>
  <c r="N211" i="1"/>
  <c r="V211" i="1"/>
  <c r="AF211" i="1"/>
  <c r="I190" i="1"/>
  <c r="AG190" i="1"/>
  <c r="I211" i="1"/>
  <c r="Q211" i="1"/>
  <c r="AG211" i="1"/>
  <c r="J211" i="1"/>
  <c r="R211" i="1"/>
  <c r="AB211" i="1"/>
  <c r="AJ211" i="1"/>
  <c r="O211" i="1"/>
  <c r="Q190" i="1"/>
  <c r="AK190" i="1"/>
  <c r="AL221" i="1"/>
  <c r="AT221" i="1"/>
  <c r="AT211" i="1" s="1"/>
  <c r="H190" i="1"/>
  <c r="J190" i="1"/>
  <c r="L190" i="1"/>
  <c r="L189" i="1" s="1"/>
  <c r="N190" i="1"/>
  <c r="P190" i="1"/>
  <c r="R190" i="1"/>
  <c r="T190" i="1"/>
  <c r="V190" i="1"/>
  <c r="X190" i="1"/>
  <c r="Z190" i="1"/>
  <c r="Z189" i="1" s="1"/>
  <c r="AB190" i="1"/>
  <c r="AF190" i="1"/>
  <c r="AJ190" i="1"/>
  <c r="AK211" i="1"/>
  <c r="H211" i="1"/>
  <c r="AL214" i="1"/>
  <c r="Y221" i="1"/>
  <c r="Y211" i="1" s="1"/>
  <c r="AN221" i="1"/>
  <c r="AN211" i="1" s="1"/>
  <c r="X232" i="1"/>
  <c r="X221" i="1" s="1"/>
  <c r="X211" i="1" s="1"/>
  <c r="G221" i="1"/>
  <c r="G211" i="1" s="1"/>
  <c r="AM221" i="1"/>
  <c r="AM211" i="1" s="1"/>
  <c r="AM189" i="1" s="1"/>
  <c r="AS221" i="1"/>
  <c r="AS211" i="1" s="1"/>
  <c r="AE197" i="1"/>
  <c r="AE193" i="1" s="1"/>
  <c r="AE192" i="1" s="1"/>
  <c r="AE191" i="1" s="1"/>
  <c r="AE190" i="1" s="1"/>
  <c r="AD193" i="1"/>
  <c r="AD192" i="1" s="1"/>
  <c r="AD191" i="1" s="1"/>
  <c r="AD190" i="1" s="1"/>
  <c r="AI197" i="1"/>
  <c r="AI193" i="1" s="1"/>
  <c r="AI192" i="1" s="1"/>
  <c r="AI191" i="1" s="1"/>
  <c r="AI190" i="1" s="1"/>
  <c r="AH193" i="1"/>
  <c r="AH192" i="1" s="1"/>
  <c r="AH191" i="1" s="1"/>
  <c r="AH190" i="1" s="1"/>
  <c r="P189" i="1" l="1"/>
  <c r="AA189" i="1"/>
  <c r="AH189" i="1"/>
  <c r="U189" i="1"/>
  <c r="AT190" i="1"/>
  <c r="AT189" i="1" s="1"/>
  <c r="AX189" i="1" s="1"/>
  <c r="M189" i="1"/>
  <c r="G189" i="1"/>
  <c r="O189" i="1"/>
  <c r="AN190" i="1"/>
  <c r="AN189" i="1" s="1"/>
  <c r="AE189" i="1"/>
  <c r="AC189" i="1"/>
  <c r="R189" i="1"/>
  <c r="AF189" i="1"/>
  <c r="W189" i="1"/>
  <c r="AB189" i="1"/>
  <c r="AS189" i="1"/>
  <c r="AK189" i="1"/>
  <c r="J189" i="1"/>
  <c r="I189" i="1"/>
  <c r="S189" i="1"/>
  <c r="N189" i="1"/>
  <c r="AI189" i="1"/>
  <c r="AL211" i="1"/>
  <c r="AL189" i="1" s="1"/>
  <c r="K189" i="1"/>
  <c r="Y189" i="1"/>
  <c r="BC189" i="1" s="1"/>
  <c r="Q189" i="1"/>
  <c r="AG189" i="1"/>
  <c r="AD189" i="1"/>
  <c r="T189" i="1"/>
  <c r="AJ189" i="1"/>
  <c r="V189" i="1"/>
  <c r="X189" i="1"/>
  <c r="H189" i="1"/>
  <c r="G239" i="1" l="1"/>
  <c r="H239" i="1"/>
  <c r="I239" i="1"/>
  <c r="J239" i="1"/>
  <c r="K239" i="1"/>
  <c r="L239" i="1"/>
  <c r="M239" i="1"/>
  <c r="N239" i="1"/>
  <c r="O239" i="1"/>
  <c r="P239" i="1"/>
  <c r="Q239" i="1"/>
  <c r="R239" i="1"/>
  <c r="S239" i="1"/>
  <c r="T239" i="1"/>
  <c r="U239" i="1"/>
  <c r="V239" i="1"/>
  <c r="W239" i="1"/>
  <c r="X239" i="1"/>
  <c r="Y239" i="1"/>
  <c r="Z239" i="1"/>
  <c r="AA239" i="1"/>
  <c r="AB239" i="1"/>
  <c r="AC239" i="1"/>
  <c r="AD239" i="1"/>
  <c r="AE239" i="1"/>
  <c r="AF239" i="1"/>
  <c r="AG239" i="1"/>
  <c r="AH239" i="1"/>
  <c r="AI239" i="1"/>
  <c r="AJ239" i="1"/>
  <c r="AK239" i="1"/>
  <c r="AL239" i="1"/>
  <c r="AM239" i="1"/>
  <c r="AN239" i="1"/>
  <c r="AO239" i="1"/>
  <c r="AP239" i="1"/>
  <c r="AQ239" i="1"/>
  <c r="AR239" i="1"/>
  <c r="AS239" i="1"/>
  <c r="G252" i="1"/>
  <c r="H252" i="1"/>
  <c r="I252" i="1"/>
  <c r="J252" i="1"/>
  <c r="K252" i="1"/>
  <c r="L252" i="1"/>
  <c r="M252" i="1"/>
  <c r="N252" i="1"/>
  <c r="O252" i="1"/>
  <c r="P252" i="1"/>
  <c r="Q252" i="1"/>
  <c r="R252" i="1"/>
  <c r="S252" i="1"/>
  <c r="T252" i="1"/>
  <c r="U252" i="1"/>
  <c r="V252" i="1"/>
  <c r="W252" i="1"/>
  <c r="X252" i="1"/>
  <c r="Y252" i="1"/>
  <c r="Z252" i="1"/>
  <c r="AA252" i="1"/>
  <c r="AB252" i="1"/>
  <c r="AC252" i="1"/>
  <c r="AD252" i="1"/>
  <c r="AE252" i="1"/>
  <c r="AF252" i="1"/>
  <c r="AG252" i="1"/>
  <c r="AH252" i="1"/>
  <c r="AI252" i="1"/>
  <c r="AJ252" i="1"/>
  <c r="AK252" i="1"/>
  <c r="AL252" i="1"/>
  <c r="AM252" i="1"/>
  <c r="AN252" i="1"/>
  <c r="AO252" i="1"/>
  <c r="AP252" i="1"/>
  <c r="AQ252" i="1"/>
  <c r="AR252" i="1"/>
  <c r="AS252" i="1"/>
  <c r="AT252" i="1"/>
  <c r="AT239" i="1"/>
  <c r="AS238" i="1" l="1"/>
  <c r="AQ238" i="1"/>
  <c r="AO238" i="1"/>
  <c r="AM238" i="1"/>
  <c r="AK238" i="1"/>
  <c r="AI238" i="1"/>
  <c r="AG238" i="1"/>
  <c r="AE238" i="1"/>
  <c r="AC238" i="1"/>
  <c r="AA238" i="1"/>
  <c r="Y238" i="1"/>
  <c r="W238" i="1"/>
  <c r="U238" i="1"/>
  <c r="S238" i="1"/>
  <c r="Q238" i="1"/>
  <c r="O238" i="1"/>
  <c r="M238" i="1"/>
  <c r="K238" i="1"/>
  <c r="I238" i="1"/>
  <c r="G238" i="1"/>
  <c r="AT238" i="1"/>
  <c r="AR238" i="1"/>
  <c r="AP238" i="1"/>
  <c r="AN238" i="1"/>
  <c r="AL238" i="1"/>
  <c r="AJ238" i="1"/>
  <c r="AH238" i="1"/>
  <c r="AF238" i="1"/>
  <c r="AD238" i="1"/>
  <c r="AB238" i="1"/>
  <c r="Z238" i="1"/>
  <c r="X238" i="1"/>
  <c r="V238" i="1"/>
  <c r="T238" i="1"/>
  <c r="R238" i="1"/>
  <c r="P238" i="1"/>
  <c r="N238" i="1"/>
  <c r="L238" i="1"/>
  <c r="J238" i="1"/>
  <c r="H238" i="1"/>
  <c r="AP17" i="1"/>
  <c r="AQ17" i="1"/>
  <c r="H285" i="1" l="1"/>
  <c r="H282" i="1" s="1"/>
  <c r="I285" i="1"/>
  <c r="I282" i="1" s="1"/>
  <c r="J285" i="1"/>
  <c r="J282" i="1" s="1"/>
  <c r="K285" i="1"/>
  <c r="K282" i="1" s="1"/>
  <c r="L285" i="1"/>
  <c r="L282" i="1" s="1"/>
  <c r="M285" i="1"/>
  <c r="M282" i="1" s="1"/>
  <c r="N285" i="1"/>
  <c r="N282" i="1" s="1"/>
  <c r="O285" i="1"/>
  <c r="O282" i="1" s="1"/>
  <c r="P285" i="1"/>
  <c r="P282" i="1" s="1"/>
  <c r="Q285" i="1"/>
  <c r="Q282" i="1" s="1"/>
  <c r="R285" i="1"/>
  <c r="R282" i="1" s="1"/>
  <c r="S285" i="1"/>
  <c r="S282" i="1" s="1"/>
  <c r="T285" i="1"/>
  <c r="T282" i="1" s="1"/>
  <c r="U285" i="1"/>
  <c r="U282" i="1" s="1"/>
  <c r="V285" i="1"/>
  <c r="V282" i="1" s="1"/>
  <c r="W285" i="1"/>
  <c r="W282" i="1" s="1"/>
  <c r="X285" i="1"/>
  <c r="X282" i="1" s="1"/>
  <c r="Y285" i="1"/>
  <c r="Y282" i="1" s="1"/>
  <c r="Z285" i="1"/>
  <c r="Z282" i="1" s="1"/>
  <c r="AA285" i="1"/>
  <c r="AA282" i="1" s="1"/>
  <c r="AB285" i="1"/>
  <c r="AB282" i="1" s="1"/>
  <c r="AC285" i="1"/>
  <c r="AC282" i="1" s="1"/>
  <c r="AD285" i="1"/>
  <c r="AD282" i="1" s="1"/>
  <c r="AE285" i="1"/>
  <c r="AE282" i="1" s="1"/>
  <c r="AF285" i="1"/>
  <c r="AF282" i="1" s="1"/>
  <c r="AG285" i="1"/>
  <c r="AG282" i="1" s="1"/>
  <c r="AH285" i="1"/>
  <c r="AH282" i="1" s="1"/>
  <c r="AI285" i="1"/>
  <c r="AI282" i="1" s="1"/>
  <c r="AJ285" i="1"/>
  <c r="AJ282" i="1" s="1"/>
  <c r="AK285" i="1"/>
  <c r="AK282" i="1" s="1"/>
  <c r="AL285" i="1"/>
  <c r="AL282" i="1" s="1"/>
  <c r="AM285" i="1"/>
  <c r="AM282" i="1" s="1"/>
  <c r="AN285" i="1"/>
  <c r="AN282" i="1" s="1"/>
  <c r="AO285" i="1"/>
  <c r="AO282" i="1" s="1"/>
  <c r="AP285" i="1"/>
  <c r="AP282" i="1" s="1"/>
  <c r="G285" i="1"/>
  <c r="G282" i="1" s="1"/>
  <c r="H275" i="1"/>
  <c r="I275" i="1"/>
  <c r="J275" i="1"/>
  <c r="K275" i="1"/>
  <c r="L275" i="1"/>
  <c r="M275" i="1"/>
  <c r="N275" i="1"/>
  <c r="O275" i="1"/>
  <c r="P275" i="1"/>
  <c r="Q275" i="1"/>
  <c r="R275" i="1"/>
  <c r="S275" i="1"/>
  <c r="T275" i="1"/>
  <c r="U275" i="1"/>
  <c r="V275" i="1"/>
  <c r="W275" i="1"/>
  <c r="X275" i="1"/>
  <c r="Y275" i="1"/>
  <c r="Z275" i="1"/>
  <c r="AA275" i="1"/>
  <c r="AB275" i="1"/>
  <c r="AC275" i="1"/>
  <c r="AD275" i="1"/>
  <c r="AE275" i="1"/>
  <c r="AF275" i="1"/>
  <c r="AG275" i="1"/>
  <c r="AH275" i="1"/>
  <c r="AI275" i="1"/>
  <c r="AJ275" i="1"/>
  <c r="AK275" i="1"/>
  <c r="AL275" i="1"/>
  <c r="AM275" i="1"/>
  <c r="AN275" i="1"/>
  <c r="AO275" i="1"/>
  <c r="AP275" i="1"/>
  <c r="AQ275" i="1"/>
  <c r="AR275" i="1"/>
  <c r="AS275" i="1"/>
  <c r="AT275" i="1"/>
  <c r="G275" i="1"/>
  <c r="G262" i="1"/>
  <c r="G259" i="1" s="1"/>
  <c r="G258" i="1" s="1"/>
  <c r="H262" i="1"/>
  <c r="H259" i="1" s="1"/>
  <c r="H258" i="1" s="1"/>
  <c r="I262" i="1"/>
  <c r="J262" i="1"/>
  <c r="K262" i="1"/>
  <c r="L262" i="1"/>
  <c r="M262" i="1"/>
  <c r="N262" i="1"/>
  <c r="O262" i="1"/>
  <c r="O259" i="1" s="1"/>
  <c r="P262" i="1"/>
  <c r="Q262" i="1"/>
  <c r="R262" i="1"/>
  <c r="S262" i="1"/>
  <c r="T262" i="1"/>
  <c r="U262" i="1"/>
  <c r="V262" i="1"/>
  <c r="W262" i="1"/>
  <c r="W259" i="1" s="1"/>
  <c r="X262" i="1"/>
  <c r="Y262" i="1"/>
  <c r="Z262" i="1"/>
  <c r="AA262" i="1"/>
  <c r="AB262" i="1"/>
  <c r="AC262" i="1"/>
  <c r="AD262" i="1"/>
  <c r="AE262" i="1"/>
  <c r="AE259" i="1" s="1"/>
  <c r="AF262" i="1"/>
  <c r="AG262" i="1"/>
  <c r="AH262" i="1"/>
  <c r="AI262" i="1"/>
  <c r="AJ262" i="1"/>
  <c r="AK262" i="1"/>
  <c r="AL262" i="1"/>
  <c r="AM262" i="1"/>
  <c r="AM259" i="1" s="1"/>
  <c r="AN262" i="1"/>
  <c r="AO262" i="1"/>
  <c r="AP262" i="1"/>
  <c r="AQ262" i="1"/>
  <c r="AR262" i="1"/>
  <c r="AS262" i="1"/>
  <c r="AT262" i="1"/>
  <c r="AS259" i="1" l="1"/>
  <c r="AS258" i="1" s="1"/>
  <c r="AP259" i="1"/>
  <c r="AP258" i="1" s="1"/>
  <c r="AH259" i="1"/>
  <c r="AH258" i="1" s="1"/>
  <c r="Z259" i="1"/>
  <c r="Z258" i="1" s="1"/>
  <c r="R259" i="1"/>
  <c r="R258" i="1" s="1"/>
  <c r="J259" i="1"/>
  <c r="J258" i="1" s="1"/>
  <c r="J237" i="1" s="1"/>
  <c r="AQ259" i="1"/>
  <c r="AQ258" i="1" s="1"/>
  <c r="AQ237" i="1" s="1"/>
  <c r="AT259" i="1"/>
  <c r="AT258" i="1" s="1"/>
  <c r="AT237" i="1" s="1"/>
  <c r="AK259" i="1"/>
  <c r="AC259" i="1"/>
  <c r="U259" i="1"/>
  <c r="U258" i="1" s="1"/>
  <c r="U237" i="1" s="1"/>
  <c r="M259" i="1"/>
  <c r="M258" i="1" s="1"/>
  <c r="M237" i="1" s="1"/>
  <c r="AR259" i="1"/>
  <c r="AR258" i="1" s="1"/>
  <c r="AJ259" i="1"/>
  <c r="AJ258" i="1" s="1"/>
  <c r="AJ237" i="1" s="1"/>
  <c r="AB259" i="1"/>
  <c r="AB258" i="1" s="1"/>
  <c r="AB237" i="1" s="1"/>
  <c r="T259" i="1"/>
  <c r="T258" i="1" s="1"/>
  <c r="L259" i="1"/>
  <c r="L258" i="1" s="1"/>
  <c r="AI259" i="1"/>
  <c r="AI258" i="1" s="1"/>
  <c r="AA259" i="1"/>
  <c r="AA258" i="1" s="1"/>
  <c r="AA237" i="1" s="1"/>
  <c r="S259" i="1"/>
  <c r="S258" i="1" s="1"/>
  <c r="K259" i="1"/>
  <c r="K258" i="1" s="1"/>
  <c r="K237" i="1" s="1"/>
  <c r="Y259" i="1"/>
  <c r="Y258" i="1" s="1"/>
  <c r="Y237" i="1" s="1"/>
  <c r="AF259" i="1"/>
  <c r="AF258" i="1" s="1"/>
  <c r="AF237" i="1" s="1"/>
  <c r="X259" i="1"/>
  <c r="X258" i="1" s="1"/>
  <c r="X237" i="1" s="1"/>
  <c r="P259" i="1"/>
  <c r="P258" i="1" s="1"/>
  <c r="P237" i="1" s="1"/>
  <c r="AM258" i="1"/>
  <c r="W258" i="1"/>
  <c r="W237" i="1" s="1"/>
  <c r="AG259" i="1"/>
  <c r="AG258" i="1" s="1"/>
  <c r="AG237" i="1" s="1"/>
  <c r="Q259" i="1"/>
  <c r="Q258" i="1" s="1"/>
  <c r="Q237" i="1" s="1"/>
  <c r="AN259" i="1"/>
  <c r="AN258" i="1" s="1"/>
  <c r="AN237" i="1" s="1"/>
  <c r="AE258" i="1"/>
  <c r="AE237" i="1" s="1"/>
  <c r="O258" i="1"/>
  <c r="O237" i="1" s="1"/>
  <c r="AL259" i="1"/>
  <c r="AL258" i="1" s="1"/>
  <c r="AD259" i="1"/>
  <c r="AD258" i="1" s="1"/>
  <c r="V259" i="1"/>
  <c r="V258" i="1" s="1"/>
  <c r="V237" i="1" s="1"/>
  <c r="N259" i="1"/>
  <c r="N258" i="1" s="1"/>
  <c r="N237" i="1" s="1"/>
  <c r="AO259" i="1"/>
  <c r="AO258" i="1" s="1"/>
  <c r="AO237" i="1" s="1"/>
  <c r="I259" i="1"/>
  <c r="I258" i="1" s="1"/>
  <c r="I237" i="1" s="1"/>
  <c r="AK258" i="1"/>
  <c r="AK237" i="1" s="1"/>
  <c r="AC258" i="1"/>
  <c r="AC237" i="1" s="1"/>
  <c r="AX264" i="1"/>
  <c r="AX275" i="1"/>
  <c r="AX262" i="1"/>
  <c r="AX278" i="1"/>
  <c r="AW262" i="1"/>
  <c r="AR237" i="1"/>
  <c r="AS237" i="1"/>
  <c r="AI237" i="1"/>
  <c r="S237" i="1"/>
  <c r="AP237" i="1"/>
  <c r="AL237" i="1"/>
  <c r="AH237" i="1"/>
  <c r="AD237" i="1"/>
  <c r="Z237" i="1"/>
  <c r="T237" i="1"/>
  <c r="R237" i="1"/>
  <c r="L237" i="1"/>
  <c r="H237" i="1"/>
  <c r="AM237" i="1"/>
  <c r="G237" i="1"/>
  <c r="G184" i="1"/>
  <c r="H184" i="1"/>
  <c r="I184" i="1"/>
  <c r="J184" i="1"/>
  <c r="K184" i="1"/>
  <c r="L184" i="1"/>
  <c r="M184" i="1"/>
  <c r="N184" i="1"/>
  <c r="O184" i="1"/>
  <c r="P184" i="1"/>
  <c r="Q184" i="1"/>
  <c r="R184" i="1"/>
  <c r="S184" i="1"/>
  <c r="T184" i="1"/>
  <c r="U184" i="1"/>
  <c r="V184" i="1"/>
  <c r="W184" i="1"/>
  <c r="X184" i="1"/>
  <c r="Y184" i="1"/>
  <c r="Z184" i="1"/>
  <c r="AA184" i="1"/>
  <c r="AB184" i="1"/>
  <c r="AC184" i="1"/>
  <c r="AD184" i="1"/>
  <c r="AE184" i="1"/>
  <c r="AF184" i="1"/>
  <c r="AG184" i="1"/>
  <c r="AH184" i="1"/>
  <c r="AI184" i="1"/>
  <c r="AJ184" i="1"/>
  <c r="AK184" i="1"/>
  <c r="AL184" i="1"/>
  <c r="AN184" i="1"/>
  <c r="AO184" i="1"/>
  <c r="AP184" i="1"/>
  <c r="AQ184" i="1"/>
  <c r="AR184" i="1"/>
  <c r="AV17" i="1"/>
  <c r="AW258" i="1" l="1"/>
  <c r="AX258" i="1"/>
  <c r="AY237" i="1"/>
  <c r="AX238" i="1"/>
  <c r="AW237" i="1"/>
  <c r="G53" i="1" l="1"/>
  <c r="H53" i="1"/>
  <c r="I53" i="1"/>
  <c r="J53" i="1"/>
  <c r="K53" i="1"/>
  <c r="L53" i="1"/>
  <c r="M53" i="1"/>
  <c r="N53" i="1"/>
  <c r="O53" i="1"/>
  <c r="P53" i="1"/>
  <c r="Q53" i="1"/>
  <c r="R53" i="1"/>
  <c r="S53" i="1"/>
  <c r="T53" i="1"/>
  <c r="U53" i="1"/>
  <c r="V53" i="1"/>
  <c r="W53" i="1"/>
  <c r="Y53" i="1"/>
  <c r="Z53" i="1"/>
  <c r="AA53" i="1"/>
  <c r="AB53" i="1"/>
  <c r="AC53" i="1"/>
  <c r="AD53" i="1"/>
  <c r="AE53" i="1"/>
  <c r="AF53" i="1"/>
  <c r="AG53" i="1"/>
  <c r="AH53" i="1"/>
  <c r="AI53" i="1"/>
  <c r="AJ53" i="1"/>
  <c r="AK53" i="1"/>
  <c r="AL53" i="1"/>
  <c r="AP53" i="1"/>
  <c r="AQ53" i="1"/>
  <c r="AR53" i="1"/>
  <c r="AS56" i="1"/>
  <c r="AS54" i="1"/>
  <c r="AT55" i="1"/>
  <c r="AT53" i="1" s="1"/>
  <c r="AS52" i="1"/>
  <c r="AS50" i="1"/>
  <c r="AS41" i="1"/>
  <c r="AS38" i="1"/>
  <c r="AN50" i="1"/>
  <c r="AN51" i="1"/>
  <c r="AR51" i="1" s="1"/>
  <c r="AT49" i="1"/>
  <c r="AS49" i="1" s="1"/>
  <c r="AT48" i="1"/>
  <c r="AS48" i="1" s="1"/>
  <c r="AT47" i="1"/>
  <c r="AS47" i="1" s="1"/>
  <c r="AQ46" i="1"/>
  <c r="AT46" i="1" s="1"/>
  <c r="AS46" i="1" s="1"/>
  <c r="AQ45" i="1"/>
  <c r="AT45" i="1" s="1"/>
  <c r="AS45" i="1" s="1"/>
  <c r="AQ44" i="1"/>
  <c r="AT44" i="1" s="1"/>
  <c r="AS44" i="1" s="1"/>
  <c r="AT43" i="1"/>
  <c r="AS43" i="1" s="1"/>
  <c r="AP36" i="1"/>
  <c r="AQ34" i="1"/>
  <c r="AT34" i="1" s="1"/>
  <c r="AR23" i="1"/>
  <c r="AX23" i="1" s="1"/>
  <c r="AP35" i="1" l="1"/>
  <c r="AS55" i="1"/>
  <c r="AS53" i="1" s="1"/>
  <c r="AQ36" i="1"/>
  <c r="AQ35" i="1" s="1"/>
  <c r="AR36" i="1"/>
  <c r="AR35" i="1" s="1"/>
  <c r="AT51" i="1"/>
  <c r="AS51" i="1" s="1"/>
  <c r="G136" i="1" l="1"/>
  <c r="H136" i="1"/>
  <c r="I136" i="1"/>
  <c r="J136" i="1"/>
  <c r="K136" i="1"/>
  <c r="R136" i="1"/>
  <c r="S136" i="1"/>
  <c r="T136" i="1"/>
  <c r="V136" i="1"/>
  <c r="W136" i="1"/>
  <c r="Z136" i="1"/>
  <c r="AA136" i="1"/>
  <c r="AB136" i="1"/>
  <c r="AC136" i="1"/>
  <c r="AE136" i="1"/>
  <c r="AF136" i="1"/>
  <c r="AG136" i="1"/>
  <c r="AI136" i="1"/>
  <c r="AJ136" i="1"/>
  <c r="AK136" i="1"/>
  <c r="AO136" i="1"/>
  <c r="AP136" i="1"/>
  <c r="AQ136" i="1"/>
  <c r="AO122" i="1"/>
  <c r="AP122" i="1"/>
  <c r="AQ122" i="1"/>
  <c r="AR122" i="1"/>
  <c r="AT122" i="1"/>
  <c r="AN117" i="1"/>
  <c r="AO112" i="1"/>
  <c r="AP112" i="1"/>
  <c r="AQ112" i="1"/>
  <c r="AR112" i="1"/>
  <c r="AT112" i="1"/>
  <c r="AS113" i="1"/>
  <c r="AS114" i="1"/>
  <c r="G97" i="1"/>
  <c r="H97" i="1"/>
  <c r="I97" i="1"/>
  <c r="J97" i="1"/>
  <c r="K97" i="1"/>
  <c r="L97" i="1"/>
  <c r="M97" i="1"/>
  <c r="N97" i="1"/>
  <c r="P97" i="1"/>
  <c r="Q97" i="1"/>
  <c r="R97" i="1"/>
  <c r="S97" i="1"/>
  <c r="T97" i="1"/>
  <c r="U97" i="1"/>
  <c r="V97" i="1"/>
  <c r="W97" i="1"/>
  <c r="Y97" i="1"/>
  <c r="Z97" i="1"/>
  <c r="AA97" i="1"/>
  <c r="AB97" i="1"/>
  <c r="AC97" i="1"/>
  <c r="AE97" i="1"/>
  <c r="AF97" i="1"/>
  <c r="AG97" i="1"/>
  <c r="AH97" i="1"/>
  <c r="AI97" i="1"/>
  <c r="AJ97" i="1"/>
  <c r="AK97" i="1"/>
  <c r="AL97" i="1"/>
  <c r="AO97" i="1"/>
  <c r="AP97" i="1"/>
  <c r="AQ97" i="1"/>
  <c r="AR97" i="1"/>
  <c r="AT97" i="1"/>
  <c r="AM96" i="1"/>
  <c r="AN93" i="1"/>
  <c r="AO93" i="1"/>
  <c r="AP93" i="1"/>
  <c r="AQ93" i="1"/>
  <c r="AR93" i="1"/>
  <c r="AT96" i="1"/>
  <c r="AS96" i="1" s="1"/>
  <c r="AT105" i="1"/>
  <c r="AS105" i="1" s="1"/>
  <c r="AT103" i="1"/>
  <c r="AS103" i="1" s="1"/>
  <c r="AT106" i="1"/>
  <c r="AS106" i="1" s="1"/>
  <c r="AT107" i="1"/>
  <c r="AS107" i="1" s="1"/>
  <c r="AT108" i="1"/>
  <c r="AS108" i="1" s="1"/>
  <c r="AT109" i="1"/>
  <c r="AS109" i="1" s="1"/>
  <c r="AT102" i="1"/>
  <c r="AS102" i="1" s="1"/>
  <c r="AO111" i="1"/>
  <c r="AO101" i="1" s="1"/>
  <c r="AN101" i="1"/>
  <c r="AP101" i="1"/>
  <c r="AQ101" i="1"/>
  <c r="AR101" i="1"/>
  <c r="G93" i="1"/>
  <c r="I93" i="1"/>
  <c r="J93" i="1"/>
  <c r="K93" i="1"/>
  <c r="L93" i="1"/>
  <c r="M93" i="1"/>
  <c r="N93" i="1"/>
  <c r="P93" i="1"/>
  <c r="Q93" i="1"/>
  <c r="R93" i="1"/>
  <c r="S93" i="1"/>
  <c r="T93" i="1"/>
  <c r="U93" i="1"/>
  <c r="V93" i="1"/>
  <c r="W93" i="1"/>
  <c r="Y93" i="1"/>
  <c r="Z93" i="1"/>
  <c r="AA93" i="1"/>
  <c r="AB93" i="1"/>
  <c r="AC93" i="1"/>
  <c r="AE93" i="1"/>
  <c r="AF93" i="1"/>
  <c r="AG93" i="1"/>
  <c r="AH93" i="1"/>
  <c r="AI93" i="1"/>
  <c r="AJ93" i="1"/>
  <c r="AK93" i="1"/>
  <c r="AL93" i="1"/>
  <c r="AS95" i="1"/>
  <c r="AS98" i="1"/>
  <c r="AS99" i="1"/>
  <c r="AT94" i="1"/>
  <c r="AS94" i="1" s="1"/>
  <c r="AR100" i="1" l="1"/>
  <c r="AQ100" i="1"/>
  <c r="AO121" i="1"/>
  <c r="AQ121" i="1"/>
  <c r="AS97" i="1"/>
  <c r="AS112" i="1"/>
  <c r="AS93" i="1"/>
  <c r="AP121" i="1"/>
  <c r="AT93" i="1"/>
  <c r="AS101" i="1"/>
  <c r="AT101" i="1"/>
  <c r="AT100" i="1" s="1"/>
  <c r="AW100" i="1" s="1"/>
  <c r="AS100" i="1" l="1"/>
  <c r="G92" i="1"/>
  <c r="I92" i="1"/>
  <c r="J92" i="1"/>
  <c r="K92" i="1"/>
  <c r="L92" i="1"/>
  <c r="M92" i="1"/>
  <c r="N92" i="1"/>
  <c r="P92" i="1"/>
  <c r="Q92" i="1"/>
  <c r="R92" i="1"/>
  <c r="S92" i="1"/>
  <c r="T92" i="1"/>
  <c r="U92" i="1"/>
  <c r="V92" i="1"/>
  <c r="W92" i="1"/>
  <c r="Y92" i="1"/>
  <c r="Z92" i="1"/>
  <c r="AA92" i="1"/>
  <c r="AB92" i="1"/>
  <c r="AC92" i="1"/>
  <c r="AE92" i="1"/>
  <c r="AF92" i="1"/>
  <c r="AG92" i="1"/>
  <c r="AH92" i="1"/>
  <c r="AI92" i="1"/>
  <c r="AJ92" i="1"/>
  <c r="AK92" i="1"/>
  <c r="AL92" i="1"/>
  <c r="AO92" i="1"/>
  <c r="AQ92" i="1"/>
  <c r="AQ91" i="1" s="1"/>
  <c r="AQ89" i="1" s="1"/>
  <c r="AQ87" i="1" s="1"/>
  <c r="AR92" i="1"/>
  <c r="AR91" i="1" s="1"/>
  <c r="AR89" i="1" s="1"/>
  <c r="AS92" i="1"/>
  <c r="AP92" i="1"/>
  <c r="AT92" i="1"/>
  <c r="AT91" i="1" s="1"/>
  <c r="AT89" i="1" s="1"/>
  <c r="T88" i="1"/>
  <c r="U88" i="1"/>
  <c r="Y88" i="1"/>
  <c r="AD88" i="1"/>
  <c r="AH88" i="1"/>
  <c r="G82" i="1"/>
  <c r="H82" i="1"/>
  <c r="I82" i="1"/>
  <c r="J82" i="1"/>
  <c r="K82" i="1"/>
  <c r="L82" i="1"/>
  <c r="M82" i="1"/>
  <c r="N82" i="1"/>
  <c r="O82" i="1"/>
  <c r="P82" i="1"/>
  <c r="Q82" i="1"/>
  <c r="R82" i="1"/>
  <c r="S82" i="1"/>
  <c r="T82" i="1"/>
  <c r="U82" i="1"/>
  <c r="V82" i="1"/>
  <c r="W82" i="1"/>
  <c r="X82" i="1"/>
  <c r="Y82" i="1"/>
  <c r="Z82" i="1"/>
  <c r="AA82" i="1"/>
  <c r="AB82" i="1"/>
  <c r="AC82" i="1"/>
  <c r="AD82" i="1"/>
  <c r="AE82" i="1"/>
  <c r="AF82" i="1"/>
  <c r="AG82" i="1"/>
  <c r="AH82" i="1"/>
  <c r="AI82" i="1"/>
  <c r="AJ82" i="1"/>
  <c r="AK82" i="1"/>
  <c r="AL82" i="1"/>
  <c r="AN82" i="1"/>
  <c r="AO82" i="1"/>
  <c r="AP82" i="1"/>
  <c r="AQ82" i="1"/>
  <c r="AR82" i="1"/>
  <c r="AT82" i="1"/>
  <c r="AS85" i="1"/>
  <c r="AS84" i="1"/>
  <c r="AS83" i="1"/>
  <c r="H72" i="1"/>
  <c r="I72" i="1"/>
  <c r="I71" i="1" s="1"/>
  <c r="J72" i="1"/>
  <c r="K72" i="1"/>
  <c r="K71" i="1" s="1"/>
  <c r="L72" i="1"/>
  <c r="M72" i="1"/>
  <c r="M71" i="1" s="1"/>
  <c r="N72" i="1"/>
  <c r="O72" i="1"/>
  <c r="O71" i="1" s="1"/>
  <c r="Q72" i="1"/>
  <c r="R72" i="1"/>
  <c r="S72" i="1"/>
  <c r="U72" i="1"/>
  <c r="V72" i="1"/>
  <c r="W72" i="1"/>
  <c r="X72" i="1"/>
  <c r="Y72" i="1"/>
  <c r="Z72" i="1"/>
  <c r="AA72" i="1"/>
  <c r="AB72" i="1"/>
  <c r="AC72" i="1"/>
  <c r="AE72" i="1"/>
  <c r="AF72" i="1"/>
  <c r="AG72" i="1"/>
  <c r="AI72" i="1"/>
  <c r="AJ72" i="1"/>
  <c r="AM72" i="1"/>
  <c r="J71" i="1"/>
  <c r="AO72" i="1"/>
  <c r="AP72" i="1"/>
  <c r="AQ72" i="1"/>
  <c r="AR72" i="1"/>
  <c r="AT74" i="1"/>
  <c r="AS74" i="1" s="1"/>
  <c r="AT75" i="1"/>
  <c r="AS75" i="1" s="1"/>
  <c r="AT76" i="1"/>
  <c r="AS76" i="1" s="1"/>
  <c r="AT77" i="1"/>
  <c r="AS77" i="1" s="1"/>
  <c r="AT78" i="1"/>
  <c r="AS78" i="1" s="1"/>
  <c r="AT79" i="1"/>
  <c r="AS79" i="1" s="1"/>
  <c r="AT80" i="1"/>
  <c r="AS80" i="1" s="1"/>
  <c r="AT81" i="1"/>
  <c r="AS81" i="1" s="1"/>
  <c r="AT73" i="1"/>
  <c r="AS73" i="1" s="1"/>
  <c r="I65" i="1"/>
  <c r="I63" i="1" s="1"/>
  <c r="J65" i="1"/>
  <c r="J63" i="1" s="1"/>
  <c r="K65" i="1"/>
  <c r="K63" i="1" s="1"/>
  <c r="L65" i="1"/>
  <c r="L63" i="1" s="1"/>
  <c r="M65" i="1"/>
  <c r="M63" i="1" s="1"/>
  <c r="O65" i="1"/>
  <c r="O63" i="1" s="1"/>
  <c r="R65" i="1"/>
  <c r="R63" i="1" s="1"/>
  <c r="S65" i="1"/>
  <c r="S63" i="1" s="1"/>
  <c r="V65" i="1"/>
  <c r="V63" i="1" s="1"/>
  <c r="W65" i="1"/>
  <c r="W63" i="1" s="1"/>
  <c r="Z65" i="1"/>
  <c r="Z63" i="1" s="1"/>
  <c r="AA65" i="1"/>
  <c r="AA63" i="1" s="1"/>
  <c r="AB65" i="1"/>
  <c r="AB63" i="1" s="1"/>
  <c r="AF65" i="1"/>
  <c r="AF63" i="1" s="1"/>
  <c r="AG65" i="1"/>
  <c r="AG63" i="1" s="1"/>
  <c r="AI65" i="1"/>
  <c r="AI63" i="1" s="1"/>
  <c r="AJ65" i="1"/>
  <c r="AJ63" i="1" s="1"/>
  <c r="AK65" i="1"/>
  <c r="AK63" i="1" s="1"/>
  <c r="AL65" i="1"/>
  <c r="AL63" i="1" s="1"/>
  <c r="AO65" i="1"/>
  <c r="AO63" i="1" s="1"/>
  <c r="AP65" i="1"/>
  <c r="AP63" i="1" s="1"/>
  <c r="AQ65" i="1"/>
  <c r="AQ63" i="1" s="1"/>
  <c r="AR65" i="1"/>
  <c r="AR63" i="1" s="1"/>
  <c r="AU65" i="1"/>
  <c r="AU63" i="1" s="1"/>
  <c r="AU62" i="1" s="1"/>
  <c r="AU60" i="1" s="1"/>
  <c r="AU58" i="1" s="1"/>
  <c r="AU21" i="1" s="1"/>
  <c r="AU20" i="1" s="1"/>
  <c r="AV65" i="1"/>
  <c r="AV63" i="1" s="1"/>
  <c r="AV62" i="1" s="1"/>
  <c r="AV60" i="1" s="1"/>
  <c r="AV58" i="1" s="1"/>
  <c r="AV21" i="1" s="1"/>
  <c r="AT70" i="1"/>
  <c r="AS70" i="1" s="1"/>
  <c r="AS69" i="1"/>
  <c r="AT68" i="1"/>
  <c r="AS68" i="1" s="1"/>
  <c r="AT67" i="1"/>
  <c r="AS67" i="1" s="1"/>
  <c r="AS187" i="1"/>
  <c r="AS186" i="1"/>
  <c r="AS185" i="1"/>
  <c r="AS183" i="1"/>
  <c r="AS182" i="1"/>
  <c r="AS181" i="1"/>
  <c r="AS180" i="1"/>
  <c r="AS91" i="1" l="1"/>
  <c r="AS89" i="1" s="1"/>
  <c r="AI71" i="1"/>
  <c r="AI62" i="1" s="1"/>
  <c r="AI60" i="1" s="1"/>
  <c r="AI58" i="1" s="1"/>
  <c r="Y71" i="1"/>
  <c r="V71" i="1"/>
  <c r="V62" i="1" s="1"/>
  <c r="V60" i="1" s="1"/>
  <c r="V58" i="1" s="1"/>
  <c r="AA71" i="1"/>
  <c r="AA62" i="1" s="1"/>
  <c r="AA60" i="1" s="1"/>
  <c r="AA58" i="1" s="1"/>
  <c r="AV20" i="1"/>
  <c r="AV16" i="1" s="1"/>
  <c r="AV15" i="1" s="1"/>
  <c r="AV14" i="1" s="1"/>
  <c r="K62" i="1"/>
  <c r="I62" i="1"/>
  <c r="AG71" i="1"/>
  <c r="AG62" i="1" s="1"/>
  <c r="AG60" i="1" s="1"/>
  <c r="AG58" i="1" s="1"/>
  <c r="S71" i="1"/>
  <c r="S62" i="1" s="1"/>
  <c r="S60" i="1" s="1"/>
  <c r="S58" i="1" s="1"/>
  <c r="Q71" i="1"/>
  <c r="O62" i="1"/>
  <c r="O60" i="1" s="1"/>
  <c r="O58" i="1" s="1"/>
  <c r="M62" i="1"/>
  <c r="M60" i="1" s="1"/>
  <c r="M58" i="1" s="1"/>
  <c r="AE71" i="1"/>
  <c r="AC71" i="1"/>
  <c r="U71" i="1"/>
  <c r="R71" i="1"/>
  <c r="R62" i="1" s="1"/>
  <c r="R60" i="1" s="1"/>
  <c r="R58" i="1" s="1"/>
  <c r="W71" i="1"/>
  <c r="W62" i="1" s="1"/>
  <c r="W60" i="1" s="1"/>
  <c r="W58" i="1" s="1"/>
  <c r="Z71" i="1"/>
  <c r="Z62" i="1" s="1"/>
  <c r="Z60" i="1" s="1"/>
  <c r="Z58" i="1" s="1"/>
  <c r="N71" i="1"/>
  <c r="L71" i="1"/>
  <c r="L62" i="1" s="1"/>
  <c r="L60" i="1" s="1"/>
  <c r="L58" i="1" s="1"/>
  <c r="H71" i="1"/>
  <c r="AS184" i="1"/>
  <c r="J62" i="1"/>
  <c r="AS82" i="1"/>
  <c r="AP71" i="1"/>
  <c r="AS65" i="1"/>
  <c r="AS63" i="1" s="1"/>
  <c r="X88" i="1"/>
  <c r="AN88" i="1"/>
  <c r="AJ71" i="1"/>
  <c r="AJ62" i="1" s="1"/>
  <c r="AJ60" i="1" s="1"/>
  <c r="AJ58" i="1" s="1"/>
  <c r="AF71" i="1"/>
  <c r="AF62" i="1" s="1"/>
  <c r="AF60" i="1" s="1"/>
  <c r="AF58" i="1" s="1"/>
  <c r="AB71" i="1"/>
  <c r="AB62" i="1" s="1"/>
  <c r="AB60" i="1" s="1"/>
  <c r="AB58" i="1" s="1"/>
  <c r="X71" i="1"/>
  <c r="AT72" i="1"/>
  <c r="AS72" i="1"/>
  <c r="AT65" i="1"/>
  <c r="AT63" i="1" s="1"/>
  <c r="AS178" i="1"/>
  <c r="AS177" i="1"/>
  <c r="AT184" i="1"/>
  <c r="AO176" i="1"/>
  <c r="AO175" i="1" s="1"/>
  <c r="AP176" i="1"/>
  <c r="AP175" i="1" s="1"/>
  <c r="AQ176" i="1"/>
  <c r="AQ175" i="1" s="1"/>
  <c r="AR176" i="1"/>
  <c r="AO167" i="1"/>
  <c r="AO165" i="1" s="1"/>
  <c r="AP167" i="1"/>
  <c r="AP165" i="1" s="1"/>
  <c r="AQ167" i="1"/>
  <c r="AQ165" i="1" s="1"/>
  <c r="AR167" i="1"/>
  <c r="AR165" i="1" s="1"/>
  <c r="AS173" i="1"/>
  <c r="AS172" i="1"/>
  <c r="AS171" i="1"/>
  <c r="AS170" i="1"/>
  <c r="AS169" i="1"/>
  <c r="AT168" i="1"/>
  <c r="H143" i="1"/>
  <c r="I143" i="1"/>
  <c r="J143" i="1"/>
  <c r="K143" i="1"/>
  <c r="L143" i="1"/>
  <c r="M143" i="1"/>
  <c r="N143" i="1"/>
  <c r="O143" i="1"/>
  <c r="Q143" i="1"/>
  <c r="R143" i="1"/>
  <c r="S143" i="1"/>
  <c r="U143" i="1"/>
  <c r="V143" i="1"/>
  <c r="W143" i="1"/>
  <c r="Y143" i="1"/>
  <c r="Z143" i="1"/>
  <c r="AA143" i="1"/>
  <c r="AE143" i="1"/>
  <c r="AF143" i="1"/>
  <c r="AG143" i="1"/>
  <c r="AI143" i="1"/>
  <c r="AJ143" i="1"/>
  <c r="AK143" i="1"/>
  <c r="AN143" i="1"/>
  <c r="AO143" i="1"/>
  <c r="AP143" i="1"/>
  <c r="AR143" i="1"/>
  <c r="I156" i="1"/>
  <c r="J156" i="1"/>
  <c r="K156" i="1"/>
  <c r="L156" i="1"/>
  <c r="M156" i="1"/>
  <c r="N156" i="1"/>
  <c r="O156" i="1"/>
  <c r="P156" i="1"/>
  <c r="Q156" i="1"/>
  <c r="R156" i="1"/>
  <c r="S156" i="1"/>
  <c r="T156" i="1"/>
  <c r="U156" i="1"/>
  <c r="V156" i="1"/>
  <c r="W156" i="1"/>
  <c r="X156" i="1"/>
  <c r="Y156" i="1"/>
  <c r="Z156" i="1"/>
  <c r="AA156" i="1"/>
  <c r="AB156" i="1"/>
  <c r="AC156" i="1"/>
  <c r="AD156" i="1"/>
  <c r="AE156" i="1"/>
  <c r="AF156" i="1"/>
  <c r="AG156" i="1"/>
  <c r="AH156" i="1"/>
  <c r="AI156" i="1"/>
  <c r="AJ156" i="1"/>
  <c r="AL156" i="1"/>
  <c r="AN156" i="1"/>
  <c r="AO156" i="1"/>
  <c r="AP156" i="1"/>
  <c r="AQ156" i="1"/>
  <c r="AR156" i="1"/>
  <c r="AT156" i="1"/>
  <c r="AS158" i="1"/>
  <c r="AS157" i="1"/>
  <c r="AS155" i="1"/>
  <c r="AS154" i="1"/>
  <c r="AS153" i="1"/>
  <c r="AT152" i="1"/>
  <c r="AS150" i="1"/>
  <c r="AT149" i="1"/>
  <c r="AS149" i="1" s="1"/>
  <c r="AS148" i="1"/>
  <c r="AS147" i="1"/>
  <c r="AS146" i="1"/>
  <c r="AR138" i="1"/>
  <c r="AR136" i="1" s="1"/>
  <c r="AR121" i="1" s="1"/>
  <c r="AS124" i="1"/>
  <c r="AS125" i="1"/>
  <c r="AS126" i="1"/>
  <c r="AS127" i="1"/>
  <c r="AS128" i="1"/>
  <c r="AS129" i="1"/>
  <c r="AS130" i="1"/>
  <c r="AS131" i="1"/>
  <c r="AS132" i="1"/>
  <c r="AS133" i="1"/>
  <c r="AS134" i="1"/>
  <c r="AS135" i="1"/>
  <c r="AS137" i="1"/>
  <c r="AS139" i="1"/>
  <c r="AS140" i="1"/>
  <c r="AS141" i="1"/>
  <c r="AS123" i="1"/>
  <c r="AS117" i="1"/>
  <c r="AS37" i="1"/>
  <c r="AQ29" i="1"/>
  <c r="AQ27" i="1" s="1"/>
  <c r="AQ26" i="1" s="1"/>
  <c r="AO29" i="1"/>
  <c r="AP29" i="1"/>
  <c r="AP27" i="1" s="1"/>
  <c r="AP26" i="1" s="1"/>
  <c r="AP24" i="1" s="1"/>
  <c r="AP22" i="1" s="1"/>
  <c r="AR29" i="1"/>
  <c r="AR27" i="1" s="1"/>
  <c r="AR26" i="1" s="1"/>
  <c r="AR24" i="1" s="1"/>
  <c r="AR22" i="1" s="1"/>
  <c r="AS32" i="1"/>
  <c r="AS34" i="1"/>
  <c r="AM88" i="1" l="1"/>
  <c r="AT88" i="1"/>
  <c r="AT138" i="1"/>
  <c r="AT136" i="1" s="1"/>
  <c r="AT121" i="1" s="1"/>
  <c r="AG142" i="1"/>
  <c r="AE142" i="1"/>
  <c r="U142" i="1"/>
  <c r="K142" i="1"/>
  <c r="I142" i="1"/>
  <c r="AQ24" i="1"/>
  <c r="AQ22" i="1" s="1"/>
  <c r="O142" i="1"/>
  <c r="AT167" i="1"/>
  <c r="AT165" i="1" s="1"/>
  <c r="W142" i="1"/>
  <c r="M142" i="1"/>
  <c r="AP142" i="1"/>
  <c r="AP120" i="1" s="1"/>
  <c r="AP118" i="1" s="1"/>
  <c r="AP116" i="1" s="1"/>
  <c r="AN142" i="1"/>
  <c r="AJ142" i="1"/>
  <c r="Z142" i="1"/>
  <c r="R142" i="1"/>
  <c r="AS138" i="1"/>
  <c r="AS136" i="1" s="1"/>
  <c r="AS156" i="1"/>
  <c r="AO142" i="1"/>
  <c r="AO120" i="1" s="1"/>
  <c r="AO118" i="1" s="1"/>
  <c r="AO116" i="1" s="1"/>
  <c r="AI142" i="1"/>
  <c r="AF142" i="1"/>
  <c r="AA142" i="1"/>
  <c r="Y142" i="1"/>
  <c r="V142" i="1"/>
  <c r="S142" i="1"/>
  <c r="Q142" i="1"/>
  <c r="N142" i="1"/>
  <c r="L142" i="1"/>
  <c r="J142" i="1"/>
  <c r="AR142" i="1"/>
  <c r="AR120" i="1" s="1"/>
  <c r="AR118" i="1" s="1"/>
  <c r="AR116" i="1" s="1"/>
  <c r="AS122" i="1"/>
  <c r="AS152" i="1"/>
  <c r="AS168" i="1"/>
  <c r="AS167" i="1" s="1"/>
  <c r="AS165" i="1" s="1"/>
  <c r="AR175" i="1"/>
  <c r="AT29" i="1"/>
  <c r="AT27" i="1" s="1"/>
  <c r="AS29" i="1"/>
  <c r="AS27" i="1" s="1"/>
  <c r="AS121" i="1" l="1"/>
  <c r="AT59" i="1"/>
  <c r="AT23" i="1"/>
  <c r="AO71" i="1" l="1"/>
  <c r="AO62" i="1" s="1"/>
  <c r="AO60" i="1" s="1"/>
  <c r="AO58" i="1" s="1"/>
  <c r="AQ71" i="1"/>
  <c r="AQ62" i="1" s="1"/>
  <c r="AQ60" i="1" s="1"/>
  <c r="AQ58" i="1" s="1"/>
  <c r="AR71" i="1"/>
  <c r="AR62" i="1" s="1"/>
  <c r="AR60" i="1" s="1"/>
  <c r="AR58" i="1" s="1"/>
  <c r="AS71" i="1"/>
  <c r="AS62" i="1" s="1"/>
  <c r="AS60" i="1" s="1"/>
  <c r="AS58" i="1" s="1"/>
  <c r="AT71" i="1"/>
  <c r="AT62" i="1" s="1"/>
  <c r="AT60" i="1" s="1"/>
  <c r="AT58" i="1" s="1"/>
  <c r="H95" i="1"/>
  <c r="H93" i="1" s="1"/>
  <c r="H92" i="1" s="1"/>
  <c r="H181" i="1"/>
  <c r="H182" i="1"/>
  <c r="F184" i="1"/>
  <c r="G112" i="1"/>
  <c r="H112" i="1"/>
  <c r="I112" i="1"/>
  <c r="J112" i="1"/>
  <c r="K112" i="1"/>
  <c r="L112" i="1"/>
  <c r="M112" i="1"/>
  <c r="N112" i="1"/>
  <c r="O112" i="1"/>
  <c r="P112" i="1"/>
  <c r="Q112" i="1"/>
  <c r="R112" i="1"/>
  <c r="S112" i="1"/>
  <c r="T112" i="1"/>
  <c r="U112" i="1"/>
  <c r="V112" i="1"/>
  <c r="W112" i="1"/>
  <c r="X112" i="1"/>
  <c r="Y112" i="1"/>
  <c r="Z112" i="1"/>
  <c r="AA112" i="1"/>
  <c r="AB112" i="1"/>
  <c r="AC112" i="1"/>
  <c r="AD112" i="1"/>
  <c r="AE112" i="1"/>
  <c r="AF112" i="1"/>
  <c r="AG112" i="1"/>
  <c r="AH112" i="1"/>
  <c r="AI112" i="1"/>
  <c r="AJ112" i="1"/>
  <c r="AK112" i="1"/>
  <c r="AL112" i="1"/>
  <c r="AN112" i="1"/>
  <c r="F53" i="1"/>
  <c r="AO164" i="1"/>
  <c r="AO162" i="1" s="1"/>
  <c r="AO160" i="1" s="1"/>
  <c r="AP164" i="1"/>
  <c r="AP162" i="1" s="1"/>
  <c r="AP160" i="1" s="1"/>
  <c r="AQ164" i="1"/>
  <c r="AQ162" i="1" s="1"/>
  <c r="AQ160" i="1" s="1"/>
  <c r="AR164" i="1"/>
  <c r="AR162" i="1" s="1"/>
  <c r="AR160" i="1" s="1"/>
  <c r="AU175" i="1"/>
  <c r="AV175" i="1"/>
  <c r="AM187" i="1"/>
  <c r="AM186" i="1"/>
  <c r="AN180" i="1"/>
  <c r="AM180" i="1" s="1"/>
  <c r="AN161" i="1"/>
  <c r="AM117" i="1"/>
  <c r="AM157" i="1"/>
  <c r="AM156" i="1" s="1"/>
  <c r="AM114" i="1"/>
  <c r="AM112" i="1" s="1"/>
  <c r="AM85" i="1"/>
  <c r="AM84" i="1"/>
  <c r="AT161" i="1" l="1"/>
  <c r="AS161" i="1" s="1"/>
  <c r="AM184" i="1"/>
  <c r="AM82" i="1"/>
  <c r="AM71" i="1" s="1"/>
  <c r="AN69" i="1"/>
  <c r="AN41" i="1"/>
  <c r="AN40" i="1"/>
  <c r="AN39" i="1"/>
  <c r="AT39" i="1" s="1"/>
  <c r="AS39" i="1" s="1"/>
  <c r="AN38" i="1"/>
  <c r="AS36" i="1" l="1"/>
  <c r="AS35" i="1" s="1"/>
  <c r="AT36" i="1"/>
  <c r="AT35" i="1" s="1"/>
  <c r="AN65" i="1"/>
  <c r="AN63" i="1" s="1"/>
  <c r="AM69" i="1"/>
  <c r="AX119" i="1"/>
  <c r="AS26" i="1" l="1"/>
  <c r="AS24" i="1" s="1"/>
  <c r="AS22" i="1" s="1"/>
  <c r="AT26" i="1"/>
  <c r="AT24" i="1" s="1"/>
  <c r="AT22" i="1" s="1"/>
  <c r="AZ7" i="1"/>
  <c r="AN183" i="1" l="1"/>
  <c r="AM183" i="1" s="1"/>
  <c r="AH183" i="1"/>
  <c r="AN182" i="1"/>
  <c r="AM182" i="1" s="1"/>
  <c r="X182" i="1"/>
  <c r="AN181" i="1"/>
  <c r="AM181" i="1" s="1"/>
  <c r="AH181" i="1"/>
  <c r="X181" i="1"/>
  <c r="AH180" i="1"/>
  <c r="X180" i="1"/>
  <c r="AN179" i="1"/>
  <c r="AT179" i="1" s="1"/>
  <c r="AS179" i="1" s="1"/>
  <c r="AH179" i="1"/>
  <c r="X179" i="1"/>
  <c r="AN178" i="1"/>
  <c r="AH178" i="1"/>
  <c r="X178" i="1"/>
  <c r="AM177" i="1"/>
  <c r="AH177" i="1"/>
  <c r="AD177" i="1"/>
  <c r="AD176" i="1" s="1"/>
  <c r="AD175" i="1" s="1"/>
  <c r="Y177" i="1"/>
  <c r="AL176" i="1"/>
  <c r="AK176" i="1"/>
  <c r="AK175" i="1" s="1"/>
  <c r="AJ176" i="1"/>
  <c r="AJ175" i="1" s="1"/>
  <c r="AI176" i="1"/>
  <c r="AI175" i="1" s="1"/>
  <c r="AG176" i="1"/>
  <c r="AG175" i="1" s="1"/>
  <c r="AF176" i="1"/>
  <c r="AF175" i="1" s="1"/>
  <c r="AE176" i="1"/>
  <c r="AE175" i="1" s="1"/>
  <c r="AC176" i="1"/>
  <c r="AC175" i="1" s="1"/>
  <c r="AB176" i="1"/>
  <c r="AB175" i="1" s="1"/>
  <c r="AA176" i="1"/>
  <c r="AA175" i="1" s="1"/>
  <c r="Z176" i="1"/>
  <c r="Z175" i="1" s="1"/>
  <c r="W176" i="1"/>
  <c r="W175" i="1" s="1"/>
  <c r="V176" i="1"/>
  <c r="V175" i="1" s="1"/>
  <c r="U176" i="1"/>
  <c r="U175" i="1" s="1"/>
  <c r="T176" i="1"/>
  <c r="T175" i="1" s="1"/>
  <c r="S176" i="1"/>
  <c r="S175" i="1" s="1"/>
  <c r="R176" i="1"/>
  <c r="R175" i="1" s="1"/>
  <c r="Q176" i="1"/>
  <c r="Q175" i="1" s="1"/>
  <c r="P176" i="1"/>
  <c r="P175" i="1" s="1"/>
  <c r="O176" i="1"/>
  <c r="O175" i="1" s="1"/>
  <c r="N176" i="1"/>
  <c r="N175" i="1" s="1"/>
  <c r="M176" i="1"/>
  <c r="M175" i="1" s="1"/>
  <c r="L176" i="1"/>
  <c r="L175" i="1" s="1"/>
  <c r="K176" i="1"/>
  <c r="K175" i="1" s="1"/>
  <c r="J176" i="1"/>
  <c r="J175" i="1" s="1"/>
  <c r="I176" i="1"/>
  <c r="I175" i="1" s="1"/>
  <c r="H176" i="1"/>
  <c r="H175" i="1" s="1"/>
  <c r="G176" i="1"/>
  <c r="G175" i="1" s="1"/>
  <c r="AM174" i="1"/>
  <c r="AH174" i="1"/>
  <c r="AD174" i="1"/>
  <c r="X174" i="1"/>
  <c r="O174" i="1"/>
  <c r="AM173" i="1"/>
  <c r="AH173" i="1"/>
  <c r="AE173" i="1"/>
  <c r="AD173" i="1" s="1"/>
  <c r="X173" i="1"/>
  <c r="O173" i="1"/>
  <c r="AM172" i="1"/>
  <c r="AH172" i="1"/>
  <c r="AE172" i="1"/>
  <c r="X172" i="1"/>
  <c r="N172" i="1"/>
  <c r="N167" i="1" s="1"/>
  <c r="N165" i="1" s="1"/>
  <c r="AM171" i="1"/>
  <c r="AH171" i="1"/>
  <c r="AD171" i="1"/>
  <c r="X171" i="1"/>
  <c r="O171" i="1"/>
  <c r="D170" i="1"/>
  <c r="D171" i="1" s="1"/>
  <c r="AM170" i="1"/>
  <c r="AH170" i="1"/>
  <c r="AD170" i="1"/>
  <c r="X170" i="1"/>
  <c r="O170" i="1"/>
  <c r="AM169" i="1"/>
  <c r="AH169" i="1"/>
  <c r="AD169" i="1"/>
  <c r="X169" i="1"/>
  <c r="O169" i="1"/>
  <c r="AM168" i="1"/>
  <c r="AH168" i="1"/>
  <c r="AD168" i="1"/>
  <c r="X168" i="1"/>
  <c r="AN167" i="1"/>
  <c r="AN165" i="1" s="1"/>
  <c r="AL167" i="1"/>
  <c r="AL165" i="1" s="1"/>
  <c r="AK167" i="1"/>
  <c r="AK165" i="1" s="1"/>
  <c r="AJ167" i="1"/>
  <c r="AJ165" i="1" s="1"/>
  <c r="AI167" i="1"/>
  <c r="AI165" i="1" s="1"/>
  <c r="AG167" i="1"/>
  <c r="AG165" i="1" s="1"/>
  <c r="AF167" i="1"/>
  <c r="AF165" i="1" s="1"/>
  <c r="AC167" i="1"/>
  <c r="AC165" i="1" s="1"/>
  <c r="AB167" i="1"/>
  <c r="AB165" i="1" s="1"/>
  <c r="AA167" i="1"/>
  <c r="AA165" i="1" s="1"/>
  <c r="Z167" i="1"/>
  <c r="Z165" i="1" s="1"/>
  <c r="Y167" i="1"/>
  <c r="Y165" i="1" s="1"/>
  <c r="W167" i="1"/>
  <c r="W165" i="1" s="1"/>
  <c r="V167" i="1"/>
  <c r="V165" i="1" s="1"/>
  <c r="U167" i="1"/>
  <c r="U165" i="1" s="1"/>
  <c r="T167" i="1"/>
  <c r="T165" i="1" s="1"/>
  <c r="S167" i="1"/>
  <c r="S165" i="1" s="1"/>
  <c r="R167" i="1"/>
  <c r="R165" i="1" s="1"/>
  <c r="Q167" i="1"/>
  <c r="Q165" i="1" s="1"/>
  <c r="P167" i="1"/>
  <c r="P165" i="1" s="1"/>
  <c r="M167" i="1"/>
  <c r="M165" i="1" s="1"/>
  <c r="L167" i="1"/>
  <c r="L165" i="1" s="1"/>
  <c r="K167" i="1"/>
  <c r="K165" i="1" s="1"/>
  <c r="J167" i="1"/>
  <c r="J165" i="1" s="1"/>
  <c r="I167" i="1"/>
  <c r="I165" i="1" s="1"/>
  <c r="H167" i="1"/>
  <c r="H165" i="1" s="1"/>
  <c r="G167" i="1"/>
  <c r="G165" i="1" s="1"/>
  <c r="AM161" i="1"/>
  <c r="AH161" i="1"/>
  <c r="AD161" i="1"/>
  <c r="X161" i="1"/>
  <c r="U161" i="1"/>
  <c r="T161" i="1"/>
  <c r="O161" i="1"/>
  <c r="AK157" i="1"/>
  <c r="AK156" i="1" s="1"/>
  <c r="AK142" i="1" s="1"/>
  <c r="H156" i="1"/>
  <c r="H142" i="1" s="1"/>
  <c r="AM155" i="1"/>
  <c r="AB155" i="1"/>
  <c r="P155" i="1"/>
  <c r="P143" i="1" s="1"/>
  <c r="P142" i="1" s="1"/>
  <c r="AM154" i="1"/>
  <c r="AC154" i="1"/>
  <c r="AM153" i="1"/>
  <c r="AC153" i="1"/>
  <c r="AM152" i="1"/>
  <c r="AL152" i="1"/>
  <c r="AH152" i="1"/>
  <c r="AB152" i="1"/>
  <c r="T152" i="1"/>
  <c r="AM151" i="1"/>
  <c r="AL151" i="1"/>
  <c r="AH151" i="1"/>
  <c r="AB151" i="1"/>
  <c r="T151" i="1"/>
  <c r="AM150" i="1"/>
  <c r="AH150" i="1"/>
  <c r="AC150" i="1"/>
  <c r="AM149" i="1"/>
  <c r="AH149" i="1"/>
  <c r="AD149" i="1"/>
  <c r="AC149" i="1"/>
  <c r="AM148" i="1"/>
  <c r="AH148" i="1"/>
  <c r="AD148" i="1"/>
  <c r="AC148" i="1"/>
  <c r="AM147" i="1"/>
  <c r="AH147" i="1"/>
  <c r="AD147" i="1"/>
  <c r="AC147" i="1"/>
  <c r="AM146" i="1"/>
  <c r="AH146" i="1"/>
  <c r="AD146" i="1"/>
  <c r="AC146" i="1"/>
  <c r="AH145" i="1"/>
  <c r="AD145" i="1"/>
  <c r="AC145" i="1"/>
  <c r="X145" i="1"/>
  <c r="AM144" i="1"/>
  <c r="AH144" i="1"/>
  <c r="AD144" i="1"/>
  <c r="AC144" i="1"/>
  <c r="X144" i="1"/>
  <c r="G143" i="1"/>
  <c r="AD141" i="1"/>
  <c r="X141" i="1"/>
  <c r="O141" i="1"/>
  <c r="AM140" i="1"/>
  <c r="AH140" i="1"/>
  <c r="AD140" i="1"/>
  <c r="U140" i="1"/>
  <c r="U136" i="1" s="1"/>
  <c r="P140" i="1"/>
  <c r="O140" i="1"/>
  <c r="AN139" i="1"/>
  <c r="AN136" i="1" s="1"/>
  <c r="AH139" i="1"/>
  <c r="AD139" i="1"/>
  <c r="X139" i="1"/>
  <c r="O139" i="1"/>
  <c r="AM138" i="1"/>
  <c r="AH138" i="1"/>
  <c r="AD138" i="1"/>
  <c r="M138" i="1"/>
  <c r="M136" i="1" s="1"/>
  <c r="N138" i="1"/>
  <c r="N136" i="1" s="1"/>
  <c r="AM137" i="1"/>
  <c r="AL137" i="1"/>
  <c r="AL136" i="1" s="1"/>
  <c r="AH137" i="1"/>
  <c r="AD137" i="1"/>
  <c r="X137" i="1"/>
  <c r="O137" i="1"/>
  <c r="AD135" i="1"/>
  <c r="X135" i="1"/>
  <c r="O135" i="1"/>
  <c r="AD134" i="1"/>
  <c r="X134" i="1"/>
  <c r="O134" i="1"/>
  <c r="AD133" i="1"/>
  <c r="X133" i="1"/>
  <c r="O133" i="1"/>
  <c r="AD132" i="1"/>
  <c r="X132" i="1"/>
  <c r="O132" i="1"/>
  <c r="AD131" i="1"/>
  <c r="X131" i="1"/>
  <c r="O131" i="1"/>
  <c r="AD130" i="1"/>
  <c r="X130" i="1"/>
  <c r="O130" i="1"/>
  <c r="AD129" i="1"/>
  <c r="X129" i="1"/>
  <c r="O129" i="1"/>
  <c r="AD128" i="1"/>
  <c r="X128" i="1"/>
  <c r="O128" i="1"/>
  <c r="AL127" i="1"/>
  <c r="AD127" i="1"/>
  <c r="X127" i="1"/>
  <c r="O127" i="1"/>
  <c r="AD126" i="1"/>
  <c r="X126" i="1"/>
  <c r="O126" i="1"/>
  <c r="AD125" i="1"/>
  <c r="X125" i="1"/>
  <c r="O125" i="1"/>
  <c r="AL124" i="1"/>
  <c r="AD124" i="1"/>
  <c r="X124" i="1"/>
  <c r="O124" i="1"/>
  <c r="AD123" i="1"/>
  <c r="X123" i="1"/>
  <c r="O123" i="1"/>
  <c r="AN122" i="1"/>
  <c r="AM122" i="1"/>
  <c r="AK122" i="1"/>
  <c r="AJ122" i="1"/>
  <c r="AI122" i="1"/>
  <c r="AH122" i="1"/>
  <c r="AG122" i="1"/>
  <c r="AF122" i="1"/>
  <c r="AF121" i="1" s="1"/>
  <c r="AE122" i="1"/>
  <c r="AC122" i="1"/>
  <c r="AB122" i="1"/>
  <c r="AA122" i="1"/>
  <c r="Z122" i="1"/>
  <c r="Z121" i="1" s="1"/>
  <c r="Y122" i="1"/>
  <c r="W122" i="1"/>
  <c r="V122" i="1"/>
  <c r="U122" i="1"/>
  <c r="T122" i="1"/>
  <c r="S122" i="1"/>
  <c r="R122" i="1"/>
  <c r="Q122" i="1"/>
  <c r="P122" i="1"/>
  <c r="N122" i="1"/>
  <c r="M122" i="1"/>
  <c r="L122" i="1"/>
  <c r="K122" i="1"/>
  <c r="J122" i="1"/>
  <c r="I122" i="1"/>
  <c r="H122" i="1"/>
  <c r="G122" i="1"/>
  <c r="AW120" i="1"/>
  <c r="AH117" i="1"/>
  <c r="AD117" i="1"/>
  <c r="AC117" i="1"/>
  <c r="X117" i="1"/>
  <c r="Q117" i="1"/>
  <c r="P117" i="1"/>
  <c r="AX116" i="1"/>
  <c r="AP100" i="1"/>
  <c r="AP91" i="1" s="1"/>
  <c r="AP89" i="1" s="1"/>
  <c r="AP87" i="1" s="1"/>
  <c r="AO100" i="1"/>
  <c r="AO91" i="1" s="1"/>
  <c r="AO89" i="1" s="1"/>
  <c r="AO87" i="1" s="1"/>
  <c r="AL111" i="1"/>
  <c r="AH111" i="1"/>
  <c r="X111" i="1"/>
  <c r="X101" i="1" s="1"/>
  <c r="X100" i="1" s="1"/>
  <c r="G111" i="1"/>
  <c r="G101" i="1" s="1"/>
  <c r="G100" i="1" s="1"/>
  <c r="G91" i="1" s="1"/>
  <c r="G89" i="1" s="1"/>
  <c r="Y110" i="1"/>
  <c r="AL110" i="1" s="1"/>
  <c r="AH110" i="1"/>
  <c r="AH109" i="1"/>
  <c r="AL108" i="1"/>
  <c r="AH108" i="1"/>
  <c r="AH107" i="1"/>
  <c r="AH106" i="1"/>
  <c r="AH105" i="1"/>
  <c r="AL104" i="1"/>
  <c r="AH104" i="1"/>
  <c r="AL103" i="1"/>
  <c r="AH103" i="1"/>
  <c r="AL102" i="1"/>
  <c r="AH102" i="1"/>
  <c r="AN100" i="1"/>
  <c r="AM101" i="1"/>
  <c r="AM100" i="1" s="1"/>
  <c r="AK101" i="1"/>
  <c r="AK100" i="1" s="1"/>
  <c r="AK91" i="1" s="1"/>
  <c r="AK89" i="1" s="1"/>
  <c r="AJ101" i="1"/>
  <c r="AJ100" i="1" s="1"/>
  <c r="AJ91" i="1" s="1"/>
  <c r="AJ89" i="1" s="1"/>
  <c r="AI101" i="1"/>
  <c r="AI100" i="1" s="1"/>
  <c r="AI91" i="1" s="1"/>
  <c r="AI89" i="1" s="1"/>
  <c r="AG101" i="1"/>
  <c r="AG100" i="1" s="1"/>
  <c r="AG91" i="1" s="1"/>
  <c r="AG89" i="1" s="1"/>
  <c r="AF101" i="1"/>
  <c r="AF100" i="1" s="1"/>
  <c r="AF91" i="1" s="1"/>
  <c r="AF89" i="1" s="1"/>
  <c r="AE101" i="1"/>
  <c r="AE100" i="1" s="1"/>
  <c r="AE91" i="1" s="1"/>
  <c r="AE89" i="1" s="1"/>
  <c r="AD101" i="1"/>
  <c r="AD100" i="1" s="1"/>
  <c r="AC101" i="1"/>
  <c r="AC100" i="1" s="1"/>
  <c r="AC91" i="1" s="1"/>
  <c r="AC89" i="1" s="1"/>
  <c r="AB101" i="1"/>
  <c r="AB100" i="1" s="1"/>
  <c r="AB91" i="1" s="1"/>
  <c r="AB89" i="1" s="1"/>
  <c r="AA101" i="1"/>
  <c r="AA100" i="1" s="1"/>
  <c r="AA91" i="1" s="1"/>
  <c r="AA89" i="1" s="1"/>
  <c r="Z101" i="1"/>
  <c r="Z100" i="1" s="1"/>
  <c r="Z91" i="1" s="1"/>
  <c r="Z89" i="1" s="1"/>
  <c r="W101" i="1"/>
  <c r="W100" i="1" s="1"/>
  <c r="W91" i="1" s="1"/>
  <c r="W89" i="1" s="1"/>
  <c r="V101" i="1"/>
  <c r="V100" i="1" s="1"/>
  <c r="V91" i="1" s="1"/>
  <c r="V89" i="1" s="1"/>
  <c r="U101" i="1"/>
  <c r="U100" i="1" s="1"/>
  <c r="U91" i="1" s="1"/>
  <c r="U89" i="1" s="1"/>
  <c r="T101" i="1"/>
  <c r="T100" i="1" s="1"/>
  <c r="T91" i="1" s="1"/>
  <c r="T89" i="1" s="1"/>
  <c r="S101" i="1"/>
  <c r="S100" i="1" s="1"/>
  <c r="S91" i="1" s="1"/>
  <c r="S89" i="1" s="1"/>
  <c r="R101" i="1"/>
  <c r="R100" i="1" s="1"/>
  <c r="R91" i="1" s="1"/>
  <c r="R89" i="1" s="1"/>
  <c r="Q101" i="1"/>
  <c r="Q100" i="1" s="1"/>
  <c r="Q91" i="1" s="1"/>
  <c r="Q89" i="1" s="1"/>
  <c r="P101" i="1"/>
  <c r="P100" i="1" s="1"/>
  <c r="P91" i="1" s="1"/>
  <c r="P89" i="1" s="1"/>
  <c r="O101" i="1"/>
  <c r="O100" i="1" s="1"/>
  <c r="N101" i="1"/>
  <c r="N100" i="1" s="1"/>
  <c r="N91" i="1" s="1"/>
  <c r="N89" i="1" s="1"/>
  <c r="M101" i="1"/>
  <c r="M100" i="1" s="1"/>
  <c r="M91" i="1" s="1"/>
  <c r="M89" i="1" s="1"/>
  <c r="L101" i="1"/>
  <c r="L100" i="1" s="1"/>
  <c r="L91" i="1" s="1"/>
  <c r="L89" i="1" s="1"/>
  <c r="K101" i="1"/>
  <c r="K100" i="1" s="1"/>
  <c r="K91" i="1" s="1"/>
  <c r="K89" i="1" s="1"/>
  <c r="J101" i="1"/>
  <c r="J100" i="1" s="1"/>
  <c r="J91" i="1" s="1"/>
  <c r="J89" i="1" s="1"/>
  <c r="I101" i="1"/>
  <c r="I100" i="1" s="1"/>
  <c r="I91" i="1" s="1"/>
  <c r="I89" i="1" s="1"/>
  <c r="H101" i="1"/>
  <c r="H100" i="1" s="1"/>
  <c r="H91" i="1" s="1"/>
  <c r="H89" i="1" s="1"/>
  <c r="AM99" i="1"/>
  <c r="AD99" i="1"/>
  <c r="X99" i="1"/>
  <c r="O99" i="1"/>
  <c r="AM98" i="1"/>
  <c r="AD98" i="1"/>
  <c r="X98" i="1"/>
  <c r="O98" i="1"/>
  <c r="AN97" i="1"/>
  <c r="AD95" i="1"/>
  <c r="O95" i="1"/>
  <c r="AM94" i="1"/>
  <c r="AM93" i="1" s="1"/>
  <c r="AD94" i="1"/>
  <c r="X94" i="1"/>
  <c r="X93" i="1" s="1"/>
  <c r="O94" i="1"/>
  <c r="AW91" i="1"/>
  <c r="AK81" i="1"/>
  <c r="T81" i="1"/>
  <c r="P81" i="1"/>
  <c r="P72" i="1" s="1"/>
  <c r="P71" i="1" s="1"/>
  <c r="AK80" i="1"/>
  <c r="T80" i="1"/>
  <c r="AK79" i="1"/>
  <c r="T79" i="1"/>
  <c r="AK78" i="1"/>
  <c r="T78" i="1"/>
  <c r="AL77" i="1"/>
  <c r="AH77" i="1"/>
  <c r="AD77" i="1"/>
  <c r="T77" i="1"/>
  <c r="AL76" i="1"/>
  <c r="AH76" i="1"/>
  <c r="AD76" i="1"/>
  <c r="T76" i="1"/>
  <c r="AL75" i="1"/>
  <c r="T75" i="1"/>
  <c r="G75" i="1"/>
  <c r="AL74" i="1"/>
  <c r="AD74" i="1"/>
  <c r="T74" i="1"/>
  <c r="G74" i="1"/>
  <c r="AL73" i="1"/>
  <c r="AD73" i="1"/>
  <c r="T73" i="1"/>
  <c r="G73" i="1"/>
  <c r="AN72" i="1"/>
  <c r="AD70" i="1"/>
  <c r="Y70" i="1"/>
  <c r="Y65" i="1" s="1"/>
  <c r="Y63" i="1" s="1"/>
  <c r="Y62" i="1" s="1"/>
  <c r="Y60" i="1" s="1"/>
  <c r="Y58" i="1" s="1"/>
  <c r="AH69" i="1"/>
  <c r="AE69" i="1"/>
  <c r="AD69" i="1" s="1"/>
  <c r="P69" i="1"/>
  <c r="T69" i="1" s="1"/>
  <c r="U69" i="1" s="1"/>
  <c r="AC69" i="1" s="1"/>
  <c r="H69" i="1"/>
  <c r="H65" i="1" s="1"/>
  <c r="H63" i="1" s="1"/>
  <c r="H62" i="1" s="1"/>
  <c r="H60" i="1" s="1"/>
  <c r="H58" i="1" s="1"/>
  <c r="AM68" i="1"/>
  <c r="AH68" i="1"/>
  <c r="AD68" i="1"/>
  <c r="U68" i="1"/>
  <c r="X68" i="1"/>
  <c r="P66" i="1"/>
  <c r="P67" i="1"/>
  <c r="N68" i="1"/>
  <c r="N65" i="1" s="1"/>
  <c r="N63" i="1" s="1"/>
  <c r="N62" i="1" s="1"/>
  <c r="N60" i="1" s="1"/>
  <c r="N58" i="1" s="1"/>
  <c r="G68" i="1"/>
  <c r="AM67" i="1"/>
  <c r="AH67" i="1"/>
  <c r="AE67" i="1"/>
  <c r="U67" i="1"/>
  <c r="X67" i="1"/>
  <c r="Y66" i="1"/>
  <c r="X66" i="1" s="1"/>
  <c r="W66" i="1"/>
  <c r="V66" i="1"/>
  <c r="Q66" i="1"/>
  <c r="O66" i="1"/>
  <c r="M66" i="1"/>
  <c r="L66" i="1"/>
  <c r="K61" i="1"/>
  <c r="K60" i="1" s="1"/>
  <c r="K58" i="1" s="1"/>
  <c r="J61" i="1"/>
  <c r="J60" i="1" s="1"/>
  <c r="J58" i="1" s="1"/>
  <c r="I61" i="1"/>
  <c r="I60" i="1" s="1"/>
  <c r="I58" i="1" s="1"/>
  <c r="AM59" i="1"/>
  <c r="AH59" i="1"/>
  <c r="X59" i="1"/>
  <c r="AM56" i="1"/>
  <c r="AN55" i="1"/>
  <c r="AN53" i="1" s="1"/>
  <c r="AM54" i="1"/>
  <c r="X54" i="1"/>
  <c r="X53" i="1" s="1"/>
  <c r="AN52" i="1"/>
  <c r="X52" i="1"/>
  <c r="AM51" i="1"/>
  <c r="X51" i="1"/>
  <c r="AM50" i="1"/>
  <c r="X50" i="1"/>
  <c r="AM49" i="1"/>
  <c r="AB49" i="1"/>
  <c r="X49" i="1"/>
  <c r="AM48" i="1"/>
  <c r="AH48" i="1"/>
  <c r="X48" i="1"/>
  <c r="AM47" i="1"/>
  <c r="AH47" i="1"/>
  <c r="X47" i="1"/>
  <c r="AM46" i="1"/>
  <c r="AL46" i="1"/>
  <c r="AH46" i="1"/>
  <c r="X46" i="1"/>
  <c r="AM45" i="1"/>
  <c r="AL45" i="1"/>
  <c r="AH45" i="1"/>
  <c r="X45" i="1"/>
  <c r="AM44" i="1"/>
  <c r="AL44" i="1"/>
  <c r="AH44" i="1"/>
  <c r="X44" i="1"/>
  <c r="AM43" i="1"/>
  <c r="AL43" i="1"/>
  <c r="AH43" i="1"/>
  <c r="AB43" i="1"/>
  <c r="X43" i="1"/>
  <c r="AM42" i="1"/>
  <c r="AL42" i="1"/>
  <c r="AH42" i="1"/>
  <c r="AD42" i="1"/>
  <c r="AC42" i="1"/>
  <c r="X42" i="1"/>
  <c r="AM41" i="1"/>
  <c r="AL41" i="1"/>
  <c r="AH41" i="1"/>
  <c r="AD41" i="1"/>
  <c r="AC41" i="1"/>
  <c r="X41" i="1"/>
  <c r="AM40" i="1"/>
  <c r="AL40" i="1"/>
  <c r="AH40" i="1"/>
  <c r="AD40" i="1"/>
  <c r="AC40" i="1"/>
  <c r="X40" i="1"/>
  <c r="AM39" i="1"/>
  <c r="AL39" i="1"/>
  <c r="AH39" i="1"/>
  <c r="AD39" i="1"/>
  <c r="AC39" i="1"/>
  <c r="X39" i="1"/>
  <c r="AM38" i="1"/>
  <c r="AL38" i="1"/>
  <c r="AH38" i="1"/>
  <c r="AD38" i="1"/>
  <c r="AC38" i="1"/>
  <c r="X38" i="1"/>
  <c r="AM37" i="1"/>
  <c r="AH37" i="1"/>
  <c r="AD37" i="1"/>
  <c r="AC37" i="1"/>
  <c r="X37" i="1"/>
  <c r="H37" i="1"/>
  <c r="H36" i="1" s="1"/>
  <c r="H35" i="1" s="1"/>
  <c r="AK36" i="1"/>
  <c r="AK35" i="1" s="1"/>
  <c r="AJ36" i="1"/>
  <c r="AJ35" i="1" s="1"/>
  <c r="AI36" i="1"/>
  <c r="AI35" i="1" s="1"/>
  <c r="AG36" i="1"/>
  <c r="AG35" i="1" s="1"/>
  <c r="AF36" i="1"/>
  <c r="AF35" i="1" s="1"/>
  <c r="AE36" i="1"/>
  <c r="AE35" i="1" s="1"/>
  <c r="AA36" i="1"/>
  <c r="AA35" i="1" s="1"/>
  <c r="Z36" i="1"/>
  <c r="Z35" i="1" s="1"/>
  <c r="Y36" i="1"/>
  <c r="Y35" i="1" s="1"/>
  <c r="W36" i="1"/>
  <c r="W35" i="1" s="1"/>
  <c r="V36" i="1"/>
  <c r="V35" i="1" s="1"/>
  <c r="U36" i="1"/>
  <c r="U35" i="1" s="1"/>
  <c r="T36" i="1"/>
  <c r="T35" i="1" s="1"/>
  <c r="S36" i="1"/>
  <c r="S35" i="1" s="1"/>
  <c r="R36" i="1"/>
  <c r="R35" i="1" s="1"/>
  <c r="Q36" i="1"/>
  <c r="Q35" i="1" s="1"/>
  <c r="P36" i="1"/>
  <c r="P35" i="1" s="1"/>
  <c r="O36" i="1"/>
  <c r="O35" i="1" s="1"/>
  <c r="N36" i="1"/>
  <c r="N35" i="1" s="1"/>
  <c r="M36" i="1"/>
  <c r="M35" i="1" s="1"/>
  <c r="L36" i="1"/>
  <c r="L35" i="1" s="1"/>
  <c r="K36" i="1"/>
  <c r="K35" i="1" s="1"/>
  <c r="J36" i="1"/>
  <c r="J35" i="1" s="1"/>
  <c r="I36" i="1"/>
  <c r="I35" i="1" s="1"/>
  <c r="G36" i="1"/>
  <c r="G35" i="1" s="1"/>
  <c r="AM34" i="1"/>
  <c r="AD34" i="1"/>
  <c r="AC34" i="1"/>
  <c r="X34" i="1"/>
  <c r="G34" i="1"/>
  <c r="AM33" i="1"/>
  <c r="AH33" i="1"/>
  <c r="AD33" i="1"/>
  <c r="AC33" i="1"/>
  <c r="X33" i="1"/>
  <c r="N33" i="1"/>
  <c r="L33" i="1"/>
  <c r="L29" i="1" s="1"/>
  <c r="L27" i="1" s="1"/>
  <c r="G33" i="1"/>
  <c r="AM32" i="1"/>
  <c r="AH32" i="1"/>
  <c r="AH29" i="1" s="1"/>
  <c r="AH27" i="1" s="1"/>
  <c r="AD32" i="1"/>
  <c r="AC32" i="1"/>
  <c r="X32" i="1"/>
  <c r="G32" i="1"/>
  <c r="AM31" i="1"/>
  <c r="AD31" i="1"/>
  <c r="AC31" i="1"/>
  <c r="X31" i="1"/>
  <c r="N31" i="1"/>
  <c r="G31" i="1"/>
  <c r="AM30" i="1"/>
  <c r="AD30" i="1"/>
  <c r="AC30" i="1"/>
  <c r="X30" i="1"/>
  <c r="G30" i="1"/>
  <c r="AN29" i="1"/>
  <c r="AL29" i="1"/>
  <c r="AL27" i="1" s="1"/>
  <c r="AK29" i="1"/>
  <c r="AK27" i="1" s="1"/>
  <c r="AJ29" i="1"/>
  <c r="AJ27" i="1" s="1"/>
  <c r="AI29" i="1"/>
  <c r="AI27" i="1" s="1"/>
  <c r="AG29" i="1"/>
  <c r="AG27" i="1" s="1"/>
  <c r="AF29" i="1"/>
  <c r="AF27" i="1" s="1"/>
  <c r="AE29" i="1"/>
  <c r="AE27" i="1" s="1"/>
  <c r="AB29" i="1"/>
  <c r="AB27" i="1" s="1"/>
  <c r="AA29" i="1"/>
  <c r="AA27" i="1" s="1"/>
  <c r="Z29" i="1"/>
  <c r="Z27" i="1" s="1"/>
  <c r="Y29" i="1"/>
  <c r="Y27" i="1" s="1"/>
  <c r="W29" i="1"/>
  <c r="W27" i="1" s="1"/>
  <c r="V29" i="1"/>
  <c r="V27" i="1" s="1"/>
  <c r="U29" i="1"/>
  <c r="U27" i="1" s="1"/>
  <c r="T29" i="1"/>
  <c r="T27" i="1" s="1"/>
  <c r="S29" i="1"/>
  <c r="S27" i="1" s="1"/>
  <c r="R29" i="1"/>
  <c r="R27" i="1" s="1"/>
  <c r="Q29" i="1"/>
  <c r="Q27" i="1" s="1"/>
  <c r="P29" i="1"/>
  <c r="P27" i="1" s="1"/>
  <c r="O29" i="1"/>
  <c r="O27" i="1" s="1"/>
  <c r="M29" i="1"/>
  <c r="M27" i="1" s="1"/>
  <c r="K29" i="1"/>
  <c r="K27" i="1" s="1"/>
  <c r="J29" i="1"/>
  <c r="J27" i="1" s="1"/>
  <c r="I29" i="1"/>
  <c r="I27" i="1" s="1"/>
  <c r="H29" i="1"/>
  <c r="H27" i="1" s="1"/>
  <c r="AN18" i="1"/>
  <c r="AO18" i="1" s="1"/>
  <c r="AU18" i="1" s="1"/>
  <c r="AT18" i="1" s="1"/>
  <c r="AS18" i="1" s="1"/>
  <c r="AO19" i="1"/>
  <c r="AU19" i="1" s="1"/>
  <c r="AT19" i="1" s="1"/>
  <c r="AS19" i="1" s="1"/>
  <c r="Y17" i="1"/>
  <c r="AH23" i="1"/>
  <c r="X23" i="1"/>
  <c r="P23" i="1"/>
  <c r="AM19" i="1"/>
  <c r="Z19" i="1"/>
  <c r="AL19" i="1" s="1"/>
  <c r="AL17" i="1" s="1"/>
  <c r="AH19" i="1"/>
  <c r="X19" i="1"/>
  <c r="P19" i="1"/>
  <c r="AK17" i="1"/>
  <c r="AH18" i="1"/>
  <c r="Z18" i="1"/>
  <c r="X18" i="1"/>
  <c r="P18" i="1"/>
  <c r="AJ17" i="1"/>
  <c r="AI17" i="1"/>
  <c r="AG17" i="1"/>
  <c r="AF17" i="1"/>
  <c r="AE17" i="1"/>
  <c r="AD17" i="1"/>
  <c r="AC17" i="1"/>
  <c r="AB17" i="1"/>
  <c r="AA17" i="1"/>
  <c r="W17" i="1"/>
  <c r="V17" i="1"/>
  <c r="U17" i="1"/>
  <c r="T17" i="1"/>
  <c r="S17" i="1"/>
  <c r="R17" i="1"/>
  <c r="Q17" i="1"/>
  <c r="O17" i="1"/>
  <c r="N17" i="1"/>
  <c r="M17" i="1"/>
  <c r="L17" i="1"/>
  <c r="K17" i="1"/>
  <c r="J17" i="1"/>
  <c r="I17" i="1"/>
  <c r="H17" i="1"/>
  <c r="G17" i="1"/>
  <c r="BB7" i="1"/>
  <c r="BA7" i="1"/>
  <c r="AD97" i="1" l="1"/>
  <c r="AE65" i="1"/>
  <c r="AE63" i="1" s="1"/>
  <c r="AE62" i="1" s="1"/>
  <c r="AE60" i="1" s="1"/>
  <c r="AE58" i="1" s="1"/>
  <c r="O93" i="1"/>
  <c r="X97" i="1"/>
  <c r="X92" i="1" s="1"/>
  <c r="X91" i="1" s="1"/>
  <c r="X89" i="1" s="1"/>
  <c r="AM97" i="1"/>
  <c r="AM92" i="1" s="1"/>
  <c r="AM91" i="1" s="1"/>
  <c r="AM89" i="1" s="1"/>
  <c r="AH72" i="1"/>
  <c r="AH71" i="1" s="1"/>
  <c r="O97" i="1"/>
  <c r="AH65" i="1"/>
  <c r="AH63" i="1" s="1"/>
  <c r="AD136" i="1"/>
  <c r="X143" i="1"/>
  <c r="X142" i="1" s="1"/>
  <c r="AK72" i="1"/>
  <c r="AK71" i="1" s="1"/>
  <c r="AK62" i="1" s="1"/>
  <c r="AK60" i="1" s="1"/>
  <c r="AK58" i="1" s="1"/>
  <c r="O136" i="1"/>
  <c r="G72" i="1"/>
  <c r="G71" i="1" s="1"/>
  <c r="AD72" i="1"/>
  <c r="AD71" i="1" s="1"/>
  <c r="AM143" i="1"/>
  <c r="AM142" i="1" s="1"/>
  <c r="T143" i="1"/>
  <c r="T142" i="1" s="1"/>
  <c r="AM65" i="1"/>
  <c r="AM63" i="1" s="1"/>
  <c r="AM62" i="1" s="1"/>
  <c r="AM60" i="1" s="1"/>
  <c r="AM58" i="1" s="1"/>
  <c r="AH136" i="1"/>
  <c r="AH121" i="1" s="1"/>
  <c r="AB143" i="1"/>
  <c r="AB142" i="1" s="1"/>
  <c r="AL143" i="1"/>
  <c r="AL142" i="1" s="1"/>
  <c r="AD143" i="1"/>
  <c r="AD142" i="1" s="1"/>
  <c r="AC67" i="1"/>
  <c r="U65" i="1"/>
  <c r="U63" i="1" s="1"/>
  <c r="U62" i="1" s="1"/>
  <c r="U60" i="1" s="1"/>
  <c r="U58" i="1" s="1"/>
  <c r="G65" i="1"/>
  <c r="G63" i="1" s="1"/>
  <c r="AH143" i="1"/>
  <c r="AH142" i="1" s="1"/>
  <c r="AL72" i="1"/>
  <c r="AL71" i="1" s="1"/>
  <c r="AL62" i="1" s="1"/>
  <c r="AL60" i="1" s="1"/>
  <c r="AL58" i="1" s="1"/>
  <c r="AD93" i="1"/>
  <c r="AM136" i="1"/>
  <c r="AM121" i="1" s="1"/>
  <c r="AM179" i="1"/>
  <c r="T72" i="1"/>
  <c r="T71" i="1" s="1"/>
  <c r="AC143" i="1"/>
  <c r="AC142" i="1" s="1"/>
  <c r="AN27" i="1"/>
  <c r="AO28" i="1"/>
  <c r="AO27" i="1" s="1"/>
  <c r="AC87" i="1"/>
  <c r="T121" i="1"/>
  <c r="AP62" i="1"/>
  <c r="AP60" i="1" s="1"/>
  <c r="AP58" i="1" s="1"/>
  <c r="AP21" i="1" s="1"/>
  <c r="AP20" i="1" s="1"/>
  <c r="AP16" i="1" s="1"/>
  <c r="AP15" i="1" s="1"/>
  <c r="AP14" i="1" s="1"/>
  <c r="N87" i="1"/>
  <c r="AL175" i="1"/>
  <c r="AL164" i="1" s="1"/>
  <c r="AL162" i="1" s="1"/>
  <c r="AL160" i="1" s="1"/>
  <c r="AM55" i="1"/>
  <c r="AE26" i="1"/>
  <c r="AE24" i="1" s="1"/>
  <c r="AE22" i="1" s="1"/>
  <c r="AM18" i="1"/>
  <c r="AM17" i="1" s="1"/>
  <c r="X17" i="1"/>
  <c r="P17" i="1"/>
  <c r="AH17" i="1"/>
  <c r="AI26" i="1"/>
  <c r="AI24" i="1" s="1"/>
  <c r="AI22" i="1" s="1"/>
  <c r="Y26" i="1"/>
  <c r="Y24" i="1" s="1"/>
  <c r="G156" i="1"/>
  <c r="G142" i="1" s="1"/>
  <c r="P68" i="1"/>
  <c r="P65" i="1" s="1"/>
  <c r="P63" i="1" s="1"/>
  <c r="P62" i="1" s="1"/>
  <c r="P60" i="1" s="1"/>
  <c r="P58" i="1" s="1"/>
  <c r="K164" i="1"/>
  <c r="K162" i="1" s="1"/>
  <c r="K160" i="1" s="1"/>
  <c r="H121" i="1"/>
  <c r="AA164" i="1"/>
  <c r="AA162" i="1" s="1"/>
  <c r="AA160" i="1" s="1"/>
  <c r="AK26" i="1"/>
  <c r="AK24" i="1" s="1"/>
  <c r="AK22" i="1" s="1"/>
  <c r="AI164" i="1"/>
  <c r="AI162" i="1" s="1"/>
  <c r="AI160" i="1" s="1"/>
  <c r="G164" i="1"/>
  <c r="G162" i="1" s="1"/>
  <c r="G160" i="1" s="1"/>
  <c r="I26" i="1"/>
  <c r="I24" i="1" s="1"/>
  <c r="I22" i="1" s="1"/>
  <c r="M26" i="1"/>
  <c r="M24" i="1" s="1"/>
  <c r="M22" i="1" s="1"/>
  <c r="Q26" i="1"/>
  <c r="Q24" i="1" s="1"/>
  <c r="Q22" i="1" s="1"/>
  <c r="AG26" i="1"/>
  <c r="AG24" i="1" s="1"/>
  <c r="AG22" i="1" s="1"/>
  <c r="K26" i="1"/>
  <c r="K24" i="1" s="1"/>
  <c r="K22" i="1" s="1"/>
  <c r="J121" i="1"/>
  <c r="N121" i="1"/>
  <c r="AC164" i="1"/>
  <c r="AC162" i="1" s="1"/>
  <c r="AC160" i="1" s="1"/>
  <c r="U26" i="1"/>
  <c r="U24" i="1" s="1"/>
  <c r="U22" i="1" s="1"/>
  <c r="AE87" i="1"/>
  <c r="AN92" i="1"/>
  <c r="AN91" i="1" s="1"/>
  <c r="AH101" i="1"/>
  <c r="I164" i="1"/>
  <c r="I162" i="1" s="1"/>
  <c r="I160" i="1" s="1"/>
  <c r="M164" i="1"/>
  <c r="M162" i="1" s="1"/>
  <c r="M160" i="1" s="1"/>
  <c r="G87" i="1"/>
  <c r="AC36" i="1"/>
  <c r="AC35" i="1" s="1"/>
  <c r="AN71" i="1"/>
  <c r="AN62" i="1" s="1"/>
  <c r="AN60" i="1" s="1"/>
  <c r="AN58" i="1" s="1"/>
  <c r="L26" i="1"/>
  <c r="L24" i="1" s="1"/>
  <c r="L22" i="1" s="1"/>
  <c r="P26" i="1"/>
  <c r="P24" i="1" s="1"/>
  <c r="P22" i="1" s="1"/>
  <c r="T26" i="1"/>
  <c r="T24" i="1" s="1"/>
  <c r="T22" i="1" s="1"/>
  <c r="V121" i="1"/>
  <c r="AK164" i="1"/>
  <c r="AK162" i="1" s="1"/>
  <c r="AK160" i="1" s="1"/>
  <c r="AJ121" i="1"/>
  <c r="AJ120" i="1" s="1"/>
  <c r="AJ118" i="1" s="1"/>
  <c r="AJ116" i="1" s="1"/>
  <c r="R164" i="1"/>
  <c r="R162" i="1" s="1"/>
  <c r="R160" i="1" s="1"/>
  <c r="AG164" i="1"/>
  <c r="AG162" i="1" s="1"/>
  <c r="AG160" i="1" s="1"/>
  <c r="S26" i="1"/>
  <c r="S24" i="1" s="1"/>
  <c r="S22" i="1" s="1"/>
  <c r="AJ26" i="1"/>
  <c r="AJ24" i="1" s="1"/>
  <c r="AJ22" i="1" s="1"/>
  <c r="P164" i="1"/>
  <c r="P162" i="1" s="1"/>
  <c r="P160" i="1" s="1"/>
  <c r="T164" i="1"/>
  <c r="T162" i="1" s="1"/>
  <c r="T160" i="1" s="1"/>
  <c r="AO17" i="1"/>
  <c r="AM29" i="1"/>
  <c r="AM27" i="1" s="1"/>
  <c r="J26" i="1"/>
  <c r="J24" i="1" s="1"/>
  <c r="J22" i="1" s="1"/>
  <c r="R26" i="1"/>
  <c r="R24" i="1" s="1"/>
  <c r="R22" i="1" s="1"/>
  <c r="V26" i="1"/>
  <c r="V24" i="1" s="1"/>
  <c r="V22" i="1" s="1"/>
  <c r="AB121" i="1"/>
  <c r="N164" i="1"/>
  <c r="N162" i="1" s="1"/>
  <c r="N160" i="1" s="1"/>
  <c r="AM178" i="1"/>
  <c r="AN176" i="1"/>
  <c r="Z17" i="1"/>
  <c r="V164" i="1"/>
  <c r="V162" i="1" s="1"/>
  <c r="V160" i="1" s="1"/>
  <c r="O26" i="1"/>
  <c r="O24" i="1" s="1"/>
  <c r="O22" i="1" s="1"/>
  <c r="W26" i="1"/>
  <c r="W24" i="1" s="1"/>
  <c r="W22" i="1" s="1"/>
  <c r="AD67" i="1"/>
  <c r="AE66" i="1"/>
  <c r="N66" i="1"/>
  <c r="AC70" i="1"/>
  <c r="X70" i="1"/>
  <c r="X65" i="1" s="1"/>
  <c r="X63" i="1" s="1"/>
  <c r="X62" i="1" s="1"/>
  <c r="X60" i="1" s="1"/>
  <c r="X58" i="1" s="1"/>
  <c r="X122" i="1"/>
  <c r="J164" i="1"/>
  <c r="J162" i="1" s="1"/>
  <c r="J160" i="1" s="1"/>
  <c r="AM167" i="1"/>
  <c r="AM165" i="1" s="1"/>
  <c r="AH167" i="1"/>
  <c r="AH165" i="1" s="1"/>
  <c r="S164" i="1"/>
  <c r="S162" i="1" s="1"/>
  <c r="S160" i="1" s="1"/>
  <c r="W164" i="1"/>
  <c r="W162" i="1" s="1"/>
  <c r="W160" i="1" s="1"/>
  <c r="AD122" i="1"/>
  <c r="AL122" i="1"/>
  <c r="AL121" i="1" s="1"/>
  <c r="R121" i="1"/>
  <c r="H164" i="1"/>
  <c r="H162" i="1" s="1"/>
  <c r="H160" i="1" s="1"/>
  <c r="L164" i="1"/>
  <c r="L162" i="1" s="1"/>
  <c r="L160" i="1" s="1"/>
  <c r="X167" i="1"/>
  <c r="X165" i="1" s="1"/>
  <c r="O167" i="1"/>
  <c r="O165" i="1" s="1"/>
  <c r="O164" i="1" s="1"/>
  <c r="O162" i="1" s="1"/>
  <c r="O160" i="1" s="1"/>
  <c r="Q164" i="1"/>
  <c r="Q162" i="1" s="1"/>
  <c r="Q160" i="1" s="1"/>
  <c r="U164" i="1"/>
  <c r="U162" i="1" s="1"/>
  <c r="U160" i="1" s="1"/>
  <c r="AH176" i="1"/>
  <c r="AH175" i="1" s="1"/>
  <c r="Z26" i="1"/>
  <c r="Z24" i="1" s="1"/>
  <c r="Z22" i="1" s="1"/>
  <c r="AF26" i="1"/>
  <c r="AF24" i="1" s="1"/>
  <c r="AF22" i="1" s="1"/>
  <c r="AE121" i="1"/>
  <c r="AG121" i="1"/>
  <c r="U121" i="1"/>
  <c r="G29" i="1"/>
  <c r="G27" i="1" s="1"/>
  <c r="AC29" i="1"/>
  <c r="AC27" i="1" s="1"/>
  <c r="N29" i="1"/>
  <c r="N27" i="1" s="1"/>
  <c r="X29" i="1"/>
  <c r="X27" i="1" s="1"/>
  <c r="AD29" i="1"/>
  <c r="AD27" i="1" s="1"/>
  <c r="AA26" i="1"/>
  <c r="AA24" i="1" s="1"/>
  <c r="AA22" i="1" s="1"/>
  <c r="H26" i="1"/>
  <c r="H24" i="1" s="1"/>
  <c r="H22" i="1" s="1"/>
  <c r="AH36" i="1"/>
  <c r="AH35" i="1" s="1"/>
  <c r="X36" i="1"/>
  <c r="X35" i="1" s="1"/>
  <c r="AD36" i="1"/>
  <c r="AD35" i="1" s="1"/>
  <c r="AL36" i="1"/>
  <c r="AL35" i="1" s="1"/>
  <c r="AB36" i="1"/>
  <c r="AB35" i="1" s="1"/>
  <c r="Q69" i="1"/>
  <c r="Q65" i="1" s="1"/>
  <c r="Q63" i="1" s="1"/>
  <c r="Q62" i="1" s="1"/>
  <c r="Q60" i="1" s="1"/>
  <c r="Q58" i="1" s="1"/>
  <c r="Y101" i="1"/>
  <c r="AL101" i="1"/>
  <c r="AD172" i="1"/>
  <c r="AD167" i="1" s="1"/>
  <c r="AD165" i="1" s="1"/>
  <c r="AD164" i="1" s="1"/>
  <c r="AD162" i="1" s="1"/>
  <c r="AD160" i="1" s="1"/>
  <c r="AE167" i="1"/>
  <c r="AE165" i="1" s="1"/>
  <c r="AE164" i="1" s="1"/>
  <c r="AE162" i="1" s="1"/>
  <c r="AE160" i="1" s="1"/>
  <c r="U87" i="1"/>
  <c r="AK87" i="1"/>
  <c r="O122" i="1"/>
  <c r="G121" i="1"/>
  <c r="I121" i="1"/>
  <c r="I120" i="1" s="1"/>
  <c r="I118" i="1" s="1"/>
  <c r="I116" i="1" s="1"/>
  <c r="K121" i="1"/>
  <c r="S121" i="1"/>
  <c r="W121" i="1"/>
  <c r="AA121" i="1"/>
  <c r="AC121" i="1"/>
  <c r="AI121" i="1"/>
  <c r="AK121" i="1"/>
  <c r="AN121" i="1"/>
  <c r="Z120" i="1"/>
  <c r="Z118" i="1" s="1"/>
  <c r="Z116" i="1" s="1"/>
  <c r="AF120" i="1"/>
  <c r="AF118" i="1" s="1"/>
  <c r="AF116" i="1" s="1"/>
  <c r="Z164" i="1"/>
  <c r="Z162" i="1" s="1"/>
  <c r="AB164" i="1"/>
  <c r="AB162" i="1" s="1"/>
  <c r="AB160" i="1" s="1"/>
  <c r="AF164" i="1"/>
  <c r="AF162" i="1" s="1"/>
  <c r="AF160" i="1" s="1"/>
  <c r="AJ164" i="1"/>
  <c r="AJ162" i="1" s="1"/>
  <c r="AJ160" i="1" s="1"/>
  <c r="AC68" i="1"/>
  <c r="T68" i="1"/>
  <c r="T65" i="1" s="1"/>
  <c r="T63" i="1" s="1"/>
  <c r="U66" i="1"/>
  <c r="AC66" i="1" s="1"/>
  <c r="Y138" i="1"/>
  <c r="L138" i="1"/>
  <c r="L136" i="1" s="1"/>
  <c r="AN17" i="1"/>
  <c r="AM52" i="1"/>
  <c r="AN36" i="1"/>
  <c r="AN35" i="1" s="1"/>
  <c r="M121" i="1"/>
  <c r="M120" i="1" s="1"/>
  <c r="M118" i="1" s="1"/>
  <c r="M116" i="1" s="1"/>
  <c r="Q138" i="1"/>
  <c r="X177" i="1"/>
  <c r="X176" i="1" s="1"/>
  <c r="Y176" i="1"/>
  <c r="AD92" i="1" l="1"/>
  <c r="AD91" i="1" s="1"/>
  <c r="AD89" i="1" s="1"/>
  <c r="O92" i="1"/>
  <c r="O91" i="1" s="1"/>
  <c r="O89" i="1" s="1"/>
  <c r="O87" i="1" s="1"/>
  <c r="G62" i="1"/>
  <c r="G60" i="1" s="1"/>
  <c r="G58" i="1" s="1"/>
  <c r="AH62" i="1"/>
  <c r="AH60" i="1" s="1"/>
  <c r="AH58" i="1" s="1"/>
  <c r="AM176" i="1"/>
  <c r="AM175" i="1" s="1"/>
  <c r="AM164" i="1" s="1"/>
  <c r="AM162" i="1" s="1"/>
  <c r="AM160" i="1" s="1"/>
  <c r="AB26" i="1"/>
  <c r="AB24" i="1" s="1"/>
  <c r="AB22" i="1" s="1"/>
  <c r="AL26" i="1"/>
  <c r="AL24" i="1" s="1"/>
  <c r="AL22" i="1" s="1"/>
  <c r="AH26" i="1"/>
  <c r="AH24" i="1" s="1"/>
  <c r="AH22" i="1" s="1"/>
  <c r="Q136" i="1"/>
  <c r="Q121" i="1" s="1"/>
  <c r="Q120" i="1" s="1"/>
  <c r="Q118" i="1" s="1"/>
  <c r="Q116" i="1" s="1"/>
  <c r="Y136" i="1"/>
  <c r="Y121" i="1" s="1"/>
  <c r="Y120" i="1" s="1"/>
  <c r="Y118" i="1" s="1"/>
  <c r="Y116" i="1" s="1"/>
  <c r="AD66" i="1"/>
  <c r="AD65" i="1"/>
  <c r="AD63" i="1" s="1"/>
  <c r="AD62" i="1" s="1"/>
  <c r="AD60" i="1" s="1"/>
  <c r="AD58" i="1" s="1"/>
  <c r="T62" i="1"/>
  <c r="T60" i="1" s="1"/>
  <c r="T58" i="1" s="1"/>
  <c r="AO53" i="1"/>
  <c r="AC65" i="1"/>
  <c r="AC63" i="1" s="1"/>
  <c r="AC62" i="1" s="1"/>
  <c r="AC60" i="1" s="1"/>
  <c r="AC58" i="1" s="1"/>
  <c r="AM36" i="1"/>
  <c r="AO36" i="1"/>
  <c r="AS176" i="1"/>
  <c r="AS175" i="1" s="1"/>
  <c r="AS164" i="1" s="1"/>
  <c r="AS162" i="1" s="1"/>
  <c r="AS160" i="1" s="1"/>
  <c r="AT176" i="1"/>
  <c r="AT175" i="1" s="1"/>
  <c r="AT164" i="1" s="1"/>
  <c r="AT162" i="1" s="1"/>
  <c r="AT160" i="1" s="1"/>
  <c r="AM53" i="1"/>
  <c r="U120" i="1"/>
  <c r="U118" i="1" s="1"/>
  <c r="U116" i="1" s="1"/>
  <c r="U21" i="1" s="1"/>
  <c r="U20" i="1" s="1"/>
  <c r="U16" i="1" s="1"/>
  <c r="U15" i="1" s="1"/>
  <c r="U14" i="1" s="1"/>
  <c r="T120" i="1"/>
  <c r="T118" i="1" s="1"/>
  <c r="T116" i="1" s="1"/>
  <c r="H120" i="1"/>
  <c r="H118" i="1" s="1"/>
  <c r="H116" i="1" s="1"/>
  <c r="Y22" i="1"/>
  <c r="AB120" i="1"/>
  <c r="AB118" i="1" s="1"/>
  <c r="AB116" i="1" s="1"/>
  <c r="AY59" i="1"/>
  <c r="AX58" i="1"/>
  <c r="V87" i="1"/>
  <c r="X87" i="1"/>
  <c r="AD121" i="1"/>
  <c r="AD120" i="1" s="1"/>
  <c r="AD118" i="1" s="1"/>
  <c r="AD116" i="1" s="1"/>
  <c r="AN175" i="1"/>
  <c r="AN164" i="1" s="1"/>
  <c r="AN162" i="1" s="1"/>
  <c r="AN160" i="1" s="1"/>
  <c r="AL100" i="1"/>
  <c r="AL91" i="1" s="1"/>
  <c r="AL89" i="1" s="1"/>
  <c r="Y100" i="1"/>
  <c r="Y91" i="1" s="1"/>
  <c r="Y89" i="1" s="1"/>
  <c r="AH100" i="1"/>
  <c r="AH91" i="1" s="1"/>
  <c r="AH89" i="1" s="1"/>
  <c r="Y175" i="1"/>
  <c r="Y164" i="1" s="1"/>
  <c r="Y162" i="1" s="1"/>
  <c r="Y160" i="1" s="1"/>
  <c r="AY160" i="1" s="1"/>
  <c r="X175" i="1"/>
  <c r="X164" i="1" s="1"/>
  <c r="X162" i="1" s="1"/>
  <c r="X160" i="1" s="1"/>
  <c r="G26" i="1"/>
  <c r="G24" i="1" s="1"/>
  <c r="G22" i="1" s="1"/>
  <c r="AM120" i="1"/>
  <c r="AM118" i="1" s="1"/>
  <c r="AM116" i="1" s="1"/>
  <c r="AF87" i="1"/>
  <c r="AF21" i="1" s="1"/>
  <c r="AF20" i="1" s="1"/>
  <c r="AF16" i="1" s="1"/>
  <c r="AF15" i="1" s="1"/>
  <c r="AF14" i="1" s="1"/>
  <c r="AI120" i="1"/>
  <c r="AI118" i="1" s="1"/>
  <c r="AI116" i="1" s="1"/>
  <c r="S120" i="1"/>
  <c r="S118" i="1" s="1"/>
  <c r="S116" i="1" s="1"/>
  <c r="AG87" i="1"/>
  <c r="AB87" i="1"/>
  <c r="H87" i="1"/>
  <c r="AL120" i="1"/>
  <c r="AL118" i="1" s="1"/>
  <c r="AL116" i="1" s="1"/>
  <c r="W120" i="1"/>
  <c r="W118" i="1" s="1"/>
  <c r="W116" i="1" s="1"/>
  <c r="AM87" i="1"/>
  <c r="W87" i="1"/>
  <c r="S87" i="1"/>
  <c r="AN120" i="1"/>
  <c r="AN118" i="1" s="1"/>
  <c r="AN116" i="1" s="1"/>
  <c r="O121" i="1"/>
  <c r="O120" i="1" s="1"/>
  <c r="O118" i="1" s="1"/>
  <c r="O116" i="1" s="1"/>
  <c r="AD87" i="1"/>
  <c r="M87" i="1"/>
  <c r="AN89" i="1"/>
  <c r="AN87" i="1" s="1"/>
  <c r="AJ87" i="1"/>
  <c r="N120" i="1"/>
  <c r="N118" i="1" s="1"/>
  <c r="N116" i="1" s="1"/>
  <c r="Q87" i="1"/>
  <c r="AK120" i="1"/>
  <c r="AK118" i="1" s="1"/>
  <c r="AK116" i="1" s="1"/>
  <c r="I87" i="1"/>
  <c r="AC26" i="1"/>
  <c r="AC24" i="1" s="1"/>
  <c r="AC22" i="1" s="1"/>
  <c r="V120" i="1"/>
  <c r="V118" i="1" s="1"/>
  <c r="V116" i="1" s="1"/>
  <c r="J120" i="1"/>
  <c r="J118" i="1" s="1"/>
  <c r="J116" i="1" s="1"/>
  <c r="R87" i="1"/>
  <c r="AN26" i="1"/>
  <c r="AN24" i="1" s="1"/>
  <c r="AN22" i="1" s="1"/>
  <c r="K120" i="1"/>
  <c r="K118" i="1" s="1"/>
  <c r="K116" i="1" s="1"/>
  <c r="R120" i="1"/>
  <c r="R118" i="1" s="1"/>
  <c r="R116" i="1" s="1"/>
  <c r="AA120" i="1"/>
  <c r="AA118" i="1" s="1"/>
  <c r="AA116" i="1" s="1"/>
  <c r="K87" i="1"/>
  <c r="AI87" i="1"/>
  <c r="AA87" i="1"/>
  <c r="L87" i="1"/>
  <c r="N26" i="1"/>
  <c r="N24" i="1" s="1"/>
  <c r="N22" i="1" s="1"/>
  <c r="AE120" i="1"/>
  <c r="AE118" i="1" s="1"/>
  <c r="AE116" i="1" s="1"/>
  <c r="T87" i="1"/>
  <c r="AH164" i="1"/>
  <c r="AH162" i="1" s="1"/>
  <c r="AH160" i="1" s="1"/>
  <c r="AC120" i="1"/>
  <c r="AC118" i="1" s="1"/>
  <c r="AC116" i="1" s="1"/>
  <c r="G120" i="1"/>
  <c r="G118" i="1" s="1"/>
  <c r="G116" i="1" s="1"/>
  <c r="AD26" i="1"/>
  <c r="AD24" i="1" s="1"/>
  <c r="AD22" i="1" s="1"/>
  <c r="J87" i="1"/>
  <c r="AH120" i="1"/>
  <c r="AH118" i="1" s="1"/>
  <c r="AH116" i="1" s="1"/>
  <c r="P87" i="1"/>
  <c r="X26" i="1"/>
  <c r="X24" i="1" s="1"/>
  <c r="X22" i="1" s="1"/>
  <c r="AG120" i="1"/>
  <c r="AG118" i="1" s="1"/>
  <c r="AG116" i="1" s="1"/>
  <c r="X138" i="1"/>
  <c r="P138" i="1"/>
  <c r="L121" i="1"/>
  <c r="L120" i="1" s="1"/>
  <c r="L118" i="1" s="1"/>
  <c r="L116" i="1" s="1"/>
  <c r="T66" i="1"/>
  <c r="AM35" i="1" l="1"/>
  <c r="AM26" i="1" s="1"/>
  <c r="AM24" i="1" s="1"/>
  <c r="AM22" i="1" s="1"/>
  <c r="AM21" i="1" s="1"/>
  <c r="AM20" i="1" s="1"/>
  <c r="AM16" i="1" s="1"/>
  <c r="AM15" i="1" s="1"/>
  <c r="AM14" i="1" s="1"/>
  <c r="AO35" i="1"/>
  <c r="AO26" i="1" s="1"/>
  <c r="AO24" i="1" s="1"/>
  <c r="AO22" i="1" s="1"/>
  <c r="AO21" i="1" s="1"/>
  <c r="X136" i="1"/>
  <c r="X121" i="1" s="1"/>
  <c r="X120" i="1" s="1"/>
  <c r="X118" i="1" s="1"/>
  <c r="X116" i="1" s="1"/>
  <c r="X21" i="1" s="1"/>
  <c r="X20" i="1" s="1"/>
  <c r="X16" i="1" s="1"/>
  <c r="X15" i="1" s="1"/>
  <c r="X14" i="1" s="1"/>
  <c r="AX160" i="1"/>
  <c r="P136" i="1"/>
  <c r="P121" i="1" s="1"/>
  <c r="P120" i="1" s="1"/>
  <c r="P118" i="1" s="1"/>
  <c r="P116" i="1" s="1"/>
  <c r="P21" i="1" s="1"/>
  <c r="P20" i="1" s="1"/>
  <c r="P16" i="1" s="1"/>
  <c r="P15" i="1" s="1"/>
  <c r="P14" i="1" s="1"/>
  <c r="Z87" i="1"/>
  <c r="Z21" i="1" s="1"/>
  <c r="Z20" i="1" s="1"/>
  <c r="Z16" i="1" s="1"/>
  <c r="Z15" i="1" s="1"/>
  <c r="Z14" i="1" s="1"/>
  <c r="AB21" i="1"/>
  <c r="AB20" i="1" s="1"/>
  <c r="AB16" i="1" s="1"/>
  <c r="AB15" i="1" s="1"/>
  <c r="AB14" i="1" s="1"/>
  <c r="G21" i="1"/>
  <c r="G20" i="1" s="1"/>
  <c r="G16" i="1" s="1"/>
  <c r="G15" i="1" s="1"/>
  <c r="G14" i="1" s="1"/>
  <c r="M21" i="1"/>
  <c r="M20" i="1" s="1"/>
  <c r="M16" i="1" s="1"/>
  <c r="M15" i="1" s="1"/>
  <c r="M14" i="1" s="1"/>
  <c r="W21" i="1"/>
  <c r="W20" i="1" s="1"/>
  <c r="W16" i="1" s="1"/>
  <c r="W15" i="1" s="1"/>
  <c r="W14" i="1" s="1"/>
  <c r="S21" i="1"/>
  <c r="S20" i="1" s="1"/>
  <c r="S16" i="1" s="1"/>
  <c r="S15" i="1" s="1"/>
  <c r="S14" i="1" s="1"/>
  <c r="AK21" i="1"/>
  <c r="AK20" i="1" s="1"/>
  <c r="AK16" i="1" s="1"/>
  <c r="AK15" i="1" s="1"/>
  <c r="AK14" i="1" s="1"/>
  <c r="I21" i="1"/>
  <c r="I20" i="1" s="1"/>
  <c r="I16" i="1" s="1"/>
  <c r="I15" i="1" s="1"/>
  <c r="I14" i="1" s="1"/>
  <c r="AD21" i="1"/>
  <c r="AD20" i="1" s="1"/>
  <c r="AD16" i="1" s="1"/>
  <c r="AD15" i="1" s="1"/>
  <c r="AD14" i="1" s="1"/>
  <c r="T21" i="1"/>
  <c r="T20" i="1" s="1"/>
  <c r="T16" i="1" s="1"/>
  <c r="T15" i="1" s="1"/>
  <c r="T14" i="1" s="1"/>
  <c r="AG21" i="1"/>
  <c r="AG20" i="1" s="1"/>
  <c r="AG16" i="1" s="1"/>
  <c r="AG15" i="1" s="1"/>
  <c r="AG14" i="1" s="1"/>
  <c r="Q21" i="1"/>
  <c r="Q20" i="1" s="1"/>
  <c r="Q16" i="1" s="1"/>
  <c r="Q15" i="1" s="1"/>
  <c r="Q14" i="1" s="1"/>
  <c r="AJ21" i="1"/>
  <c r="AJ20" i="1" s="1"/>
  <c r="AJ16" i="1" s="1"/>
  <c r="AJ15" i="1" s="1"/>
  <c r="AJ14" i="1" s="1"/>
  <c r="H21" i="1"/>
  <c r="H20" i="1" s="1"/>
  <c r="H16" i="1" s="1"/>
  <c r="H15" i="1" s="1"/>
  <c r="H14" i="1" s="1"/>
  <c r="V21" i="1"/>
  <c r="V20" i="1" s="1"/>
  <c r="V16" i="1" s="1"/>
  <c r="V15" i="1" s="1"/>
  <c r="V14" i="1" s="1"/>
  <c r="AN21" i="1"/>
  <c r="AN20" i="1" s="1"/>
  <c r="AN16" i="1" s="1"/>
  <c r="AN15" i="1" s="1"/>
  <c r="AN14" i="1" s="1"/>
  <c r="K21" i="1"/>
  <c r="K20" i="1" s="1"/>
  <c r="K16" i="1" s="1"/>
  <c r="K15" i="1" s="1"/>
  <c r="K14" i="1" s="1"/>
  <c r="AI21" i="1"/>
  <c r="AI20" i="1" s="1"/>
  <c r="AI16" i="1" s="1"/>
  <c r="AI15" i="1" s="1"/>
  <c r="AI14" i="1" s="1"/>
  <c r="L21" i="1"/>
  <c r="L20" i="1" s="1"/>
  <c r="L16" i="1" s="1"/>
  <c r="L15" i="1" s="1"/>
  <c r="L14" i="1" s="1"/>
  <c r="O21" i="1"/>
  <c r="O20" i="1" s="1"/>
  <c r="O16" i="1" s="1"/>
  <c r="O15" i="1" s="1"/>
  <c r="O14" i="1" s="1"/>
  <c r="N21" i="1"/>
  <c r="N20" i="1" s="1"/>
  <c r="N16" i="1" s="1"/>
  <c r="N15" i="1" s="1"/>
  <c r="N14" i="1" s="1"/>
  <c r="J21" i="1"/>
  <c r="J20" i="1" s="1"/>
  <c r="J16" i="1" s="1"/>
  <c r="J15" i="1" s="1"/>
  <c r="J14" i="1" s="1"/>
  <c r="AC21" i="1"/>
  <c r="AC20" i="1" s="1"/>
  <c r="AC16" i="1" s="1"/>
  <c r="AC15" i="1" s="1"/>
  <c r="AC14" i="1" s="1"/>
  <c r="AA21" i="1"/>
  <c r="AA20" i="1" s="1"/>
  <c r="AA16" i="1" s="1"/>
  <c r="AA15" i="1" s="1"/>
  <c r="AA14" i="1" s="1"/>
  <c r="R21" i="1"/>
  <c r="R20" i="1" s="1"/>
  <c r="R16" i="1" s="1"/>
  <c r="R15" i="1" s="1"/>
  <c r="R14" i="1" s="1"/>
  <c r="AE21" i="1"/>
  <c r="AE20" i="1" s="1"/>
  <c r="AE16" i="1" s="1"/>
  <c r="AE15" i="1" s="1"/>
  <c r="AE14" i="1" s="1"/>
  <c r="AO20" i="1" l="1"/>
  <c r="AO16" i="1" s="1"/>
  <c r="AO15" i="1" s="1"/>
  <c r="AO14" i="1" s="1"/>
  <c r="Y87" i="1"/>
  <c r="AX87" i="1" s="1"/>
  <c r="AH87" i="1"/>
  <c r="AH21" i="1" s="1"/>
  <c r="AH20" i="1" s="1"/>
  <c r="AH16" i="1" s="1"/>
  <c r="AH15" i="1" s="1"/>
  <c r="AH14" i="1" s="1"/>
  <c r="AL87" i="1"/>
  <c r="AL21" i="1" s="1"/>
  <c r="AL20" i="1" s="1"/>
  <c r="AL16" i="1" s="1"/>
  <c r="AL15" i="1" s="1"/>
  <c r="AL14" i="1" s="1"/>
  <c r="Y21" i="1" l="1"/>
  <c r="Y20" i="1" s="1"/>
  <c r="Y16" i="1" s="1"/>
  <c r="Y15" i="1" s="1"/>
  <c r="Y14" i="1" s="1"/>
  <c r="BA18" i="1" l="1"/>
  <c r="AS17" i="1" l="1"/>
  <c r="AT17" i="1"/>
  <c r="AR17" i="1"/>
  <c r="AU17" i="1"/>
  <c r="AU16" i="1" s="1"/>
  <c r="AU15" i="1" s="1"/>
  <c r="AU14" i="1" s="1"/>
  <c r="AT87" i="1" l="1"/>
  <c r="AS88" i="1"/>
  <c r="AS87" i="1" s="1"/>
  <c r="AR87" i="1"/>
  <c r="AR21" i="1" s="1"/>
  <c r="AR20" i="1" s="1"/>
  <c r="AR16" i="1" s="1"/>
  <c r="AR15" i="1" s="1"/>
  <c r="AR14" i="1" s="1"/>
  <c r="AS143" i="1" l="1"/>
  <c r="AS142" i="1" s="1"/>
  <c r="AS120" i="1" s="1"/>
  <c r="AS118" i="1" s="1"/>
  <c r="AS116" i="1" s="1"/>
  <c r="AS21" i="1" s="1"/>
  <c r="AS20" i="1" s="1"/>
  <c r="AS16" i="1" s="1"/>
  <c r="AS15" i="1" s="1"/>
  <c r="AS14" i="1" s="1"/>
  <c r="AQ143" i="1"/>
  <c r="AQ142" i="1" s="1"/>
  <c r="AQ120" i="1" s="1"/>
  <c r="AQ118" i="1" s="1"/>
  <c r="AQ116" i="1" s="1"/>
  <c r="AQ21" i="1" s="1"/>
  <c r="AQ20" i="1" s="1"/>
  <c r="AQ16" i="1" s="1"/>
  <c r="AQ15" i="1" s="1"/>
  <c r="AQ14" i="1" s="1"/>
  <c r="AT143" i="1"/>
  <c r="AT142" i="1" s="1"/>
  <c r="AT120" i="1" s="1"/>
  <c r="AT118" i="1" s="1"/>
  <c r="AT116" i="1" s="1"/>
  <c r="AT21" i="1" l="1"/>
  <c r="AT20" i="1" s="1"/>
  <c r="AT16" i="1" s="1"/>
  <c r="AT15" i="1" s="1"/>
  <c r="AT14" i="1" s="1"/>
  <c r="AX16" i="1"/>
  <c r="AY16" i="1" s="1"/>
  <c r="AY17" i="1" s="1"/>
  <c r="AY14" i="1" l="1"/>
  <c r="AW14" i="5"/>
  <c r="AX16" i="5" s="1"/>
  <c r="BA14" i="4"/>
  <c r="AX15" i="1"/>
  <c r="AY13" i="1"/>
  <c r="AZ13" i="1" s="1"/>
  <c r="AX14" i="1"/>
</calcChain>
</file>

<file path=xl/sharedStrings.xml><?xml version="1.0" encoding="utf-8"?>
<sst xmlns="http://schemas.openxmlformats.org/spreadsheetml/2006/main" count="4110" uniqueCount="2099">
  <si>
    <t>Tỉnh Điện Biên</t>
  </si>
  <si>
    <t>Đơn vị: Triệu đồng</t>
  </si>
  <si>
    <t>Số TT</t>
  </si>
  <si>
    <t>Danh mục dự án</t>
  </si>
  <si>
    <t>Địa điểm XD</t>
  </si>
  <si>
    <t>Năng lực thiết kế</t>
  </si>
  <si>
    <t>Thời gian KC-HT</t>
  </si>
  <si>
    <t>Quyết định đầu tư ban đầu hoặc QĐ đầu tư điều chỉnh đã được Thủ tướng Chính phủ giao KH năm 2012, 2013</t>
  </si>
  <si>
    <t>Quyết định đầu tư điều chỉnh</t>
  </si>
  <si>
    <r>
      <t xml:space="preserve">Lũy kế số vốn đã bố trí từ khởi công đến hết năm 2015 </t>
    </r>
    <r>
      <rPr>
        <vertAlign val="superscript"/>
        <sz val="11.5"/>
        <rFont val="Times New Roman"/>
        <family val="1"/>
      </rPr>
      <t>(*)</t>
    </r>
  </si>
  <si>
    <t>Lũy kế giải ngân từ khởi công đến hết ngày 31/12/2015</t>
  </si>
  <si>
    <t>Kế hoạch 5 năm 2016-2020 (QĐ 1228)</t>
  </si>
  <si>
    <t>Đề xuất điều chỉnh kế hoạch trung hạn giai đoạn từ năm 2016 đến năm 2020</t>
  </si>
  <si>
    <t>Kế hoạch trung hạn giai đoạn 2016-2020 sau khi điều chỉnh</t>
  </si>
  <si>
    <t>Ghi chú</t>
  </si>
  <si>
    <t>Số DA giảm vốn</t>
  </si>
  <si>
    <t>Số DA tăng vốn</t>
  </si>
  <si>
    <t>DA bsg mới</t>
  </si>
  <si>
    <t>Nhu cầu đầu tư 5 năm 2016-2020</t>
  </si>
  <si>
    <t>Dự kiến kế hoạch 5 năm 2016-2020
(Tờ trình 413/TTr-UBND)</t>
  </si>
  <si>
    <t>Dự kiến tăng giảm  so với Tờ trình 413/TTr-UBND</t>
  </si>
  <si>
    <t>Kế hoạch năm 2016 đã được cấp có thẩm quyền quyết định</t>
  </si>
  <si>
    <t>Kế hoạch năm 2017 đã được cấp có thẩm quyền quyết định</t>
  </si>
  <si>
    <t>Số quyết định; ngày, tháng, năm ban hành</t>
  </si>
  <si>
    <t xml:space="preserve">TMĐT </t>
  </si>
  <si>
    <t>Tổng số (tất cả các nguồn vốn)</t>
  </si>
  <si>
    <t>Trong đó: NSTW</t>
  </si>
  <si>
    <t>Tăng (+)</t>
  </si>
  <si>
    <t>Giảm (-)</t>
  </si>
  <si>
    <t xml:space="preserve">Trong đó: NSTW </t>
  </si>
  <si>
    <t>Tổng số</t>
  </si>
  <si>
    <t>Trong đó</t>
  </si>
  <si>
    <t>Tăng vốn NSTW</t>
  </si>
  <si>
    <t>Giảm vốn NSTW</t>
  </si>
  <si>
    <t>Trong đó: Thanh toán nợ đọng XDCB</t>
  </si>
  <si>
    <t>Thu hồi các khoản ứng trước NSTW</t>
  </si>
  <si>
    <t>Thanh toán nợ XDCB</t>
  </si>
  <si>
    <t>TỔNG SỐ</t>
  </si>
  <si>
    <t>Tủa Chùa</t>
  </si>
  <si>
    <t>2011-2013</t>
  </si>
  <si>
    <t>Huyện Mường Ảng</t>
  </si>
  <si>
    <t>Xã Ẳng Cang</t>
  </si>
  <si>
    <t>Xã Mường Đăng</t>
  </si>
  <si>
    <t>Xã Ẳng Nưa</t>
  </si>
  <si>
    <t>Xã Búng Lao</t>
  </si>
  <si>
    <t>2km</t>
  </si>
  <si>
    <t>17-18</t>
  </si>
  <si>
    <t>Xã Xuân Lao</t>
  </si>
  <si>
    <t>Xã Mường Lạn</t>
  </si>
  <si>
    <t>Xã Ẳng Tở</t>
  </si>
  <si>
    <t>18-20</t>
  </si>
  <si>
    <t>Xã Nặm Lịch</t>
  </si>
  <si>
    <t>19-20</t>
  </si>
  <si>
    <t>Huyện Tuần Giáo</t>
  </si>
  <si>
    <t>Xã Mường Thín</t>
  </si>
  <si>
    <t>2017-2018</t>
  </si>
  <si>
    <t>Xã Nà Tòng</t>
  </si>
  <si>
    <t>2017-2019</t>
  </si>
  <si>
    <t>Xã Chiềng Đông</t>
  </si>
  <si>
    <t>Xã Mường Mùn</t>
  </si>
  <si>
    <t>Xã Pú Xi</t>
  </si>
  <si>
    <t>2019-2020</t>
  </si>
  <si>
    <t>Huyện Tủa Chùa</t>
  </si>
  <si>
    <t>Mường Báng</t>
  </si>
  <si>
    <t>Xá Nhè</t>
  </si>
  <si>
    <t>2018-2020</t>
  </si>
  <si>
    <t>1,5km</t>
  </si>
  <si>
    <t>Mường Đun</t>
  </si>
  <si>
    <t>Tủa Thàng</t>
  </si>
  <si>
    <t>10ha</t>
  </si>
  <si>
    <t>2016-2017</t>
  </si>
  <si>
    <t>Sính Phình</t>
  </si>
  <si>
    <t>4km</t>
  </si>
  <si>
    <t>Tả Phìn</t>
  </si>
  <si>
    <t>Trung Thu</t>
  </si>
  <si>
    <t>Lao Xả Phình</t>
  </si>
  <si>
    <t>Tả Sìn Thàng</t>
  </si>
  <si>
    <t>Sín Chải</t>
  </si>
  <si>
    <t>2019-2021</t>
  </si>
  <si>
    <t>Xã Tìa Dình</t>
  </si>
  <si>
    <t>Xã Chiềng Sơ</t>
  </si>
  <si>
    <t>Xã Mường Luân</t>
  </si>
  <si>
    <t>Xã Luân Giói</t>
  </si>
  <si>
    <t>Xã Keo Lôm</t>
  </si>
  <si>
    <t>Xã Phì Nhừ</t>
  </si>
  <si>
    <t>Xã Háng Lìa</t>
  </si>
  <si>
    <t>Huyện Mường Chà</t>
  </si>
  <si>
    <t>Xã Sa Lông</t>
  </si>
  <si>
    <t>Huyện Mường Nhé</t>
  </si>
  <si>
    <t>Xã Nậm Kè</t>
  </si>
  <si>
    <t>Xã Chà Cang</t>
  </si>
  <si>
    <t>Xã Nà Hỳ</t>
  </si>
  <si>
    <t>I</t>
  </si>
  <si>
    <t>Chương trình 30a</t>
  </si>
  <si>
    <t>Bố trí thu hồi KH vốn tạm ứng</t>
  </si>
  <si>
    <t xml:space="preserve"> - Chương trình 30a</t>
  </si>
  <si>
    <t xml:space="preserve"> - Chương trình 293</t>
  </si>
  <si>
    <t>Vốn thực hiện chương trình</t>
  </si>
  <si>
    <t>ok</t>
  </si>
  <si>
    <t>HUYỆN TỦA CHÙA</t>
  </si>
  <si>
    <t>a</t>
  </si>
  <si>
    <t>Hỗ trợ sản xuất, tạo việc làm tăng thu nhập</t>
  </si>
  <si>
    <t>b</t>
  </si>
  <si>
    <t>Đầu tư cơ sở hạ tầng</t>
  </si>
  <si>
    <t>Chuẩn bị đầu tư</t>
  </si>
  <si>
    <t>Thực hiện dự án</t>
  </si>
  <si>
    <t>(1)</t>
  </si>
  <si>
    <t xml:space="preserve">Dự án chuyển tiếp từ giai đoạn 2011-2015 sang giai đoạn 2016-2020 </t>
  </si>
  <si>
    <t>*</t>
  </si>
  <si>
    <t>Dự án hoàn thành trước năm 2015</t>
  </si>
  <si>
    <t>Dự án chuyển tiếp sang giai đoạn 2016-2020</t>
  </si>
  <si>
    <t>Trạm y tế xã Mường Đun</t>
  </si>
  <si>
    <t>226 m2</t>
  </si>
  <si>
    <t>2015</t>
  </si>
  <si>
    <t>93/QĐ-UBND 05/2/2015</t>
  </si>
  <si>
    <t>Trạm y tế xã Lao Xả Phình</t>
  </si>
  <si>
    <t>216 m2</t>
  </si>
  <si>
    <t>1102/QĐ-UBND  31/12/2014</t>
  </si>
  <si>
    <t>Tuyến đường dân sinh UBND xã - Phình Hồ Ke - Mô Lô Tổng - Háng Cu Tâu gặp Km15 đường C3 đi Lao Xả Phình</t>
  </si>
  <si>
    <t>6,036 km</t>
  </si>
  <si>
    <t>15-17</t>
  </si>
  <si>
    <t>479/QĐ-UBND 19/6/2015</t>
  </si>
  <si>
    <t>KH 2017 huyện ĐN đc giảm còn 1.400 trđ</t>
  </si>
  <si>
    <t>Đường dân sinh Cáng Phình - Chẻo Chử Phình</t>
  </si>
  <si>
    <t>2,636 km</t>
  </si>
  <si>
    <t>480/QĐ-UBND 19/6/2015</t>
  </si>
  <si>
    <t>KH 2017 huyện BC còn thiếu 81 trđ để TT dứt điểm</t>
  </si>
  <si>
    <t>Sửa chữa nước sinh hoạt thôn 1 + 2, Huổi Só</t>
  </si>
  <si>
    <t>358 người</t>
  </si>
  <si>
    <t>2014-2015</t>
  </si>
  <si>
    <t>446/QĐ-UBND  8/6/2015</t>
  </si>
  <si>
    <t>(2)</t>
  </si>
  <si>
    <t>Dự án khởi công mới trong GĐ 2016-2020</t>
  </si>
  <si>
    <t>Dự án dự kiến hoàn thành và bàn giao đưa vào sử dụng giai đoạn 2016-2020</t>
  </si>
  <si>
    <t>Hạng mục NSH thuộc dự án bố trí ổn định dân cư vùng thiên tai bản Hột, xã Mường Đun huyện Tủa Chùa tỉnh Điện Biên đến năm 2020</t>
  </si>
  <si>
    <t>1001 người</t>
  </si>
  <si>
    <t>196/QĐ-UBND 18/02/2016</t>
  </si>
  <si>
    <t>Đường DS ra khu sản xuất đấu nối đoạn đường dân sinh Đông Phi II - Háng Tơ Mang xã Mường Báng</t>
  </si>
  <si>
    <t>6,3km; GTNT C</t>
  </si>
  <si>
    <t>355/QĐ-UBND 28/3/2016</t>
  </si>
  <si>
    <t>Tuyến Đèo Gió - Bản phô km 15 vào Háng Mù Tỷ</t>
  </si>
  <si>
    <t>2,734km; GTNT C</t>
  </si>
  <si>
    <t>356/QĐ-UBND 28/3/2016</t>
  </si>
  <si>
    <t>Tuyến Xá Nhè - Pàng Nhang - Sông A</t>
  </si>
  <si>
    <t>3,966km; GTNT B</t>
  </si>
  <si>
    <t>357/QĐ-UBND 28/3/2016</t>
  </si>
  <si>
    <t>Tuyến Páo Tỉnh Làng 2- Tà Tàu xã Tả Sìn Thàng</t>
  </si>
  <si>
    <t>3,8km; GTNT C</t>
  </si>
  <si>
    <t>366/QĐ-UBND 28/3/2016</t>
  </si>
  <si>
    <t>Thủy nông Na Ỏm</t>
  </si>
  <si>
    <t>10,5ha</t>
  </si>
  <si>
    <t>369/QĐ-UBND 29/3/2016</t>
  </si>
  <si>
    <t>Tuyến C3 đi Trung Thu tại Km6 Thôn 2 rẽ đi Háng Pàng</t>
  </si>
  <si>
    <t>GTNT C; L= 2,1km</t>
  </si>
  <si>
    <t>17-19</t>
  </si>
  <si>
    <t>1067/QĐ-UBND 30/10/2017</t>
  </si>
  <si>
    <t>Trạm Y tế xã Sính Phình</t>
  </si>
  <si>
    <t>1068/QĐ-UBND 30/10/2017</t>
  </si>
  <si>
    <t>Nhà Văn hóa xã Tủa Thàng</t>
  </si>
  <si>
    <t>324m2</t>
  </si>
  <si>
    <t>1069/QĐ-UBND 30/10/2017</t>
  </si>
  <si>
    <t>Nhà Văn hóa xã Tả Phìn</t>
  </si>
  <si>
    <t>1072/QĐ-UBND 30/10/2017</t>
  </si>
  <si>
    <t>Nhà Văn hóa xã Lao Xả Phình</t>
  </si>
  <si>
    <t>1071/QĐ-UBND 30/10/2017</t>
  </si>
  <si>
    <t>Nhà Văn hóa xã Sín Chải</t>
  </si>
  <si>
    <t>1070/QĐ-UBND 30/10/2017</t>
  </si>
  <si>
    <t>Nhà văn hóa xã Mường Báng</t>
  </si>
  <si>
    <t>Tuyến đường Sính Phình - Trung Thu - Lao Xả Phình - Tả Sìn Thàng (Từ thôn 1 đi thôn Đề Hái, xã Sính Phình)</t>
  </si>
  <si>
    <t>GTNT A; 3 Km</t>
  </si>
  <si>
    <t>Tuyến đường Sính Phình - Trung Thu - Lao Xả Phình - Tả Sìn Thàng (Từ thôn Đề Hái đi thôn Nhè Sua Háng xã Trung Thu)</t>
  </si>
  <si>
    <t>Sính Phình-Trung thu</t>
  </si>
  <si>
    <t>GTNT A; 2,5 Km</t>
  </si>
  <si>
    <t xml:space="preserve">Tuyến đường Sính Phình - Trung Thu - Lao Xả Phình - Tả Sìn Thàng (Từ thôn Lầu Câu Phình đến ngã ba đường Tả Phìn - Tả Sìn Thàng) </t>
  </si>
  <si>
    <t>Lao Xả Phình-Tả Sìn Thàng</t>
  </si>
  <si>
    <t>GTNT A; 2,6 Km</t>
  </si>
  <si>
    <t>Tuyến đường Sính Phình - Trung Thu - Lao Xả Phình - Tả Sìn Thàng (Từ trung tâm xã Lao Xả Phình đi thôn 3 hướng sang Trung Thu)</t>
  </si>
  <si>
    <t>Lao Xả Phình-Trung Thu</t>
  </si>
  <si>
    <t>GTNT A; 1,5 Km</t>
  </si>
  <si>
    <t>Tờ trình số 118/TTr-UBND ngày 20/9/2018</t>
  </si>
  <si>
    <t>Nâng cấp mặt đường UBND xã Mường đun - Nà sa - Bản Túc</t>
  </si>
  <si>
    <t>6,5km</t>
  </si>
  <si>
    <t>Nhằm hoàn thiện tiêu chí đạt chuẩn NTM</t>
  </si>
  <si>
    <t>Nhà Văn hóa xã Mường Đun</t>
  </si>
  <si>
    <t>HUYỆN ĐIỆN BIÊN ĐÔNG</t>
  </si>
  <si>
    <t>Đầu tư Cơ sở hạ tầng</t>
  </si>
  <si>
    <t xml:space="preserve">Chuẩn bị đầu tư </t>
  </si>
  <si>
    <t>Dự án chuyển tiếp giai đoạn 2016-2020</t>
  </si>
  <si>
    <t xml:space="preserve"> Đường Keo Lôm - Săm Măn</t>
  </si>
  <si>
    <t>2014-2019</t>
  </si>
  <si>
    <t>519/QĐ-UBND 03/6/2011</t>
  </si>
  <si>
    <t xml:space="preserve"> - Đường Keo Lôm - Săm Măn (GĐ1)</t>
  </si>
  <si>
    <t>Keo Lôm-Phình Giàng</t>
  </si>
  <si>
    <t>GTNT B; 14,86 km</t>
  </si>
  <si>
    <t>2014-2016</t>
  </si>
  <si>
    <t>371/QĐ-UBND 27/3/2012</t>
  </si>
  <si>
    <t xml:space="preserve"> - Đường Keo Lôm - Săm Măn (GĐ I1)</t>
  </si>
  <si>
    <t>GTNT B; 12,31 km</t>
  </si>
  <si>
    <t>1645/QĐ-UBND 30/12/2016</t>
  </si>
  <si>
    <t>Tiết kiệm 10% TMĐT</t>
  </si>
  <si>
    <t>Đường Nậm Ngám - Pu Nhi A,B,C,D xã Pu Nhi đến bản Sư Lư 1,2,3,4,5 xã Na Son</t>
  </si>
  <si>
    <t>Xã Pu Nhi-Na Son</t>
  </si>
  <si>
    <t>GTNT B; 18,16 km</t>
  </si>
  <si>
    <t>344/QĐ-UBND  19/4/2011</t>
  </si>
  <si>
    <t>Đường Trung Sua - Huổi Hoa xã Keo Lôm</t>
  </si>
  <si>
    <t>GTNT B; 5,1 km</t>
  </si>
  <si>
    <t>129/QĐ-UBND
 04/3/2014</t>
  </si>
  <si>
    <t>Trạm Y tế Keo Lôm</t>
  </si>
  <si>
    <t>227,5m2</t>
  </si>
  <si>
    <t>1077/QĐ-UBND  30/10/2017</t>
  </si>
  <si>
    <t>Trạm Y tế Tìa Dình</t>
  </si>
  <si>
    <t>1076/QĐ-UBND  30/10/2017</t>
  </si>
  <si>
    <t>Trạm y tế xã Luân Giói</t>
  </si>
  <si>
    <t>1078/QĐ-UBND  30/10/2017</t>
  </si>
  <si>
    <t xml:space="preserve">Trường tiểu học Mường Luân </t>
  </si>
  <si>
    <t>8 PH</t>
  </si>
  <si>
    <t xml:space="preserve">Trường THCS bán trú Phì Nhừ </t>
  </si>
  <si>
    <t>6 PH</t>
  </si>
  <si>
    <t>Nhà Văn hóa xã Phì Nhừ</t>
  </si>
  <si>
    <t>Nhà Văn hóa xã Luân Giói</t>
  </si>
  <si>
    <t>Nhà Văn hóa xã Háng Lìa</t>
  </si>
  <si>
    <t>Nhà Văn hóa xã Chiềng Sơ</t>
  </si>
  <si>
    <t>Đường Che Phai-Lại trên-Phiêng Kên-Na Ngua (Đoạn đường từ bản Na Lại đne bản Phiêng Kên) xã Luân Giói</t>
  </si>
  <si>
    <t>265/TTr-UBND 03/10/2018</t>
  </si>
  <si>
    <t>(3)</t>
  </si>
  <si>
    <t>HUYỆN MƯỜNG NHÉ</t>
  </si>
  <si>
    <t>Thủy lợi Tả Ko Khừ</t>
  </si>
  <si>
    <t>38 ha</t>
  </si>
  <si>
    <t>2011-2012</t>
  </si>
  <si>
    <t>2025/QĐ-UBND 26/9/2011</t>
  </si>
  <si>
    <t>Đường Quảng Lâm - Na Cô Sa</t>
  </si>
  <si>
    <t>GTNT A; 15,97 km</t>
  </si>
  <si>
    <t>1367/QĐ-UBND 12/11/2010</t>
  </si>
  <si>
    <t>Đường Nậm Pố - Nậm Vì</t>
  </si>
  <si>
    <t>GTNT A; 10km</t>
  </si>
  <si>
    <t>2010-2013</t>
  </si>
  <si>
    <t>1878/QĐ-UBND 20/10/2009</t>
  </si>
  <si>
    <t>Cấp nước sạch TT huyện Mường Nhé</t>
  </si>
  <si>
    <t>1200 m3 /ngày, đêm</t>
  </si>
  <si>
    <t>2010-2012</t>
  </si>
  <si>
    <t>973/QĐ-UBND 06/8/2010</t>
  </si>
  <si>
    <t>Nước sinh hoạt bản Cây Sổ xã Nậm Vì</t>
  </si>
  <si>
    <t>xã Nậm Vì</t>
  </si>
  <si>
    <t>150 người</t>
  </si>
  <si>
    <t>1112/QĐ-UBND 30/10/2017</t>
  </si>
  <si>
    <t>Nước sinh hoạt bản Huổi Pinh, xã Mường Toong</t>
  </si>
  <si>
    <t>xã Mường Toong</t>
  </si>
  <si>
    <t>250 người</t>
  </si>
  <si>
    <t>1113/QĐ-UBND 30/10/2017</t>
  </si>
  <si>
    <t>Nước sinh hoạt bản Pa Ma, xã Sen Thượng</t>
  </si>
  <si>
    <t>xã Sen Thượng</t>
  </si>
  <si>
    <t>110 người</t>
  </si>
  <si>
    <t>1106/QĐ-UBND 30/10/2017</t>
  </si>
  <si>
    <t>Thủy lợi Nà Mường, xã Mường Toong</t>
  </si>
  <si>
    <t>17 ha</t>
  </si>
  <si>
    <t>1110/QĐ-UBND 30/10/2017</t>
  </si>
  <si>
    <t>Nước sinh hoạt bản Tả Ko Ky, xã Sín Thầu</t>
  </si>
  <si>
    <t>xã Sín Thầu</t>
  </si>
  <si>
    <t xml:space="preserve">120 người </t>
  </si>
  <si>
    <t>1111/QĐ-UBND 30/10/2017</t>
  </si>
  <si>
    <t>Nâng cấp nước sinh hoạt bản Huổi Lếch, xã Huổi Lếch</t>
  </si>
  <si>
    <t>xã Huổi Lếch</t>
  </si>
  <si>
    <t>350 người</t>
  </si>
  <si>
    <t>1108/QĐ-UBND 30/10/2017</t>
  </si>
  <si>
    <t>Đường Ngã Ba - Noong Lũm, xã Mường Toong</t>
  </si>
  <si>
    <t>GTNTB;
0,62km</t>
  </si>
  <si>
    <t>1105/QĐ-UBND 30/10/2017</t>
  </si>
  <si>
    <t>Nâng cấp thủy lợi Huổi Lếch, xã Huổi Lếch</t>
  </si>
  <si>
    <t>7 ha</t>
  </si>
  <si>
    <t>1109/QĐ-UBND 30/10/2017</t>
  </si>
  <si>
    <t>Đường Huổi Hốc - Chuyên Gia, xã Nậm Kè</t>
  </si>
  <si>
    <t>xã Nậm Kè</t>
  </si>
  <si>
    <t>GTNT C; 4,51 km</t>
  </si>
  <si>
    <t>1019/QĐ-UBND 
30/10/2017</t>
  </si>
  <si>
    <t>Đường Nậm Vì - Nậm Sin</t>
  </si>
  <si>
    <t>xã Nậm Vì+Chung Chải</t>
  </si>
  <si>
    <t>15 km</t>
  </si>
  <si>
    <t>10-11;
2017-2019</t>
  </si>
  <si>
    <t>865/QĐ-UBND
15/7/2010</t>
  </si>
  <si>
    <t>Cầu treo Chuyên Gia 2, xã Nậm Kè</t>
  </si>
  <si>
    <t>HUYỆN MƯỜNG ẢNG</t>
  </si>
  <si>
    <t>Hỗ trợ sản xuất tạo việc làm tăng thu nhập</t>
  </si>
  <si>
    <t>Đầu tư xây dựng cơ sở hạ tầng</t>
  </si>
  <si>
    <t>Điện Sinh hoạt bản Tát Hẹ, xã Ẳng Nưa, huyện Mường Ảng</t>
  </si>
  <si>
    <t>3,73km dây trung thế;
1,8Km dây hạ thế</t>
  </si>
  <si>
    <t>14-15</t>
  </si>
  <si>
    <t>2540/QĐ-UBND 24/10/2013</t>
  </si>
  <si>
    <t>Thủy lợi bản Chan III, xã Ngối Cáy, huyện Mường Ảng</t>
  </si>
  <si>
    <t>8ha lúa 2 vụ; 11,6 ha lúa 1 vụ</t>
  </si>
  <si>
    <t>2529/QĐ-UBND 24/10/2013</t>
  </si>
  <si>
    <t>Phai Toi Món, xã Ẳng Nưa, huyện Mường Ảng</t>
  </si>
  <si>
    <t>11,4ha lúa 1 vụ; 5ha lúa 2 vụ</t>
  </si>
  <si>
    <t>2543/QĐ-UBND 24/10/2013</t>
  </si>
  <si>
    <t>Thủy lợi Ná Hay Nưa + Ná Hay Co Có, xã Ngối Cáy, huyện Mường Ảng</t>
  </si>
  <si>
    <t>15ha lúa 2 vụ</t>
  </si>
  <si>
    <t>2533/QĐ-UBND 24/10/2013</t>
  </si>
  <si>
    <t>Kênh Ná Co Đụ (Bó Mạy) Ẳng Nưa, huyện Mường Ảng</t>
  </si>
  <si>
    <t>20ha lúa 2 vụ</t>
  </si>
  <si>
    <t>2534/QĐ-UBND 24/10/2013</t>
  </si>
  <si>
    <t>Ngầm tràn liên hợp bản Pọng, xã Mường Đăng, huyện Mường Ảng</t>
  </si>
  <si>
    <t>L=333,08m</t>
  </si>
  <si>
    <t>2545/QĐ-UBND  24/10/2013</t>
  </si>
  <si>
    <t>Đường dân sinh Xuân Tre - Co Nỏng, búng Lao (đoạn nối bản Co Nỏng với trung tâm UBND xã Búng Lao), huyện Mường Ảng</t>
  </si>
  <si>
    <t>L=758,08m</t>
  </si>
  <si>
    <t>14-14</t>
  </si>
  <si>
    <t>2546/QĐ-UBND 24/10/2013</t>
  </si>
  <si>
    <t>Đường dân sinh bản Cha Cuông, xã Ẳng Tở, huyện Mường Ảng</t>
  </si>
  <si>
    <t>L= 1.004,36 m</t>
  </si>
  <si>
    <t>2549/QĐ-UBND 24/10/2013</t>
  </si>
  <si>
    <t>Phai Nguống - Ẳng Cang, huyện Mường Ảng</t>
  </si>
  <si>
    <t>35ha lúa 2 vụ; L= 1080,34m</t>
  </si>
  <si>
    <t>2541/QĐ-UBND 24/10/2013</t>
  </si>
  <si>
    <t>Ngầm tràn liên hợp bản Hón - Noong Háng, xã Ẳng Cang, huyện Mường Ảng</t>
  </si>
  <si>
    <t>L= 153,02m</t>
  </si>
  <si>
    <t>Sửa chữa, nâng cấp thủy lợi bản Ná Bon, xã Mường Lạn, huyện Mường Ảng</t>
  </si>
  <si>
    <t>L= 1,5km/ 7,5ha lúa 2 vụ</t>
  </si>
  <si>
    <t>2542/QĐ-UBND 24/10/2013</t>
  </si>
  <si>
    <t>Phai Cói (bản Cói + bản Sáng), xã Ẳng Cang, huyện Mường Ảng</t>
  </si>
  <si>
    <t>23ha lúa 2 vụ</t>
  </si>
  <si>
    <t>2544/QĐ-UBND 24/10/2013</t>
  </si>
  <si>
    <t>Ngầm tràn liên hợp bản Lịch Tở, xã Nặm Lịch, huyện Mường Ảng</t>
  </si>
  <si>
    <t>L = 78,22m</t>
  </si>
  <si>
    <t>2548/QĐ-UBND 24/10/2013</t>
  </si>
  <si>
    <t>Phai cửa rừng Pá Ten, xã Ẳng Nưa, huyện Mường Ảng</t>
  </si>
  <si>
    <t>21ha vụ mùa; 8ha vụ chiêm</t>
  </si>
  <si>
    <t>15-15</t>
  </si>
  <si>
    <t>1019/QĐ-UBND 22/12/2014</t>
  </si>
  <si>
    <t>Đường từ Chan III - Nậm Cứm, xã Ngối Cáy (Nối với trung tâm xã Ngối Cáy)</t>
  </si>
  <si>
    <t>L= 8.854,07m</t>
  </si>
  <si>
    <t>119/QĐ-UBND 9/2/2015</t>
  </si>
  <si>
    <t>Vốn NS huyện 2.550 trđ</t>
  </si>
  <si>
    <t>Đường dân sinh Huổi Lướng, xã Nặm Lịch</t>
  </si>
  <si>
    <t>L=1,11km</t>
  </si>
  <si>
    <t>15-16</t>
  </si>
  <si>
    <t>121/QĐ-UBND 9/2/2015</t>
  </si>
  <si>
    <t>Nhà văn hóa xã Xuân Lao</t>
  </si>
  <si>
    <t>Cấp IV-2 tầng; Sxd 478,7m2</t>
  </si>
  <si>
    <t>1104/QĐ-UBND 31/12/2014</t>
  </si>
  <si>
    <t>Trường mầm non xã Xuân Lao</t>
  </si>
  <si>
    <t>Sxd = 363,8m2; Ssd = 301,6m2</t>
  </si>
  <si>
    <t>1105/QĐ-UBND 31/12/2014</t>
  </si>
  <si>
    <t>Trường mầm non xã Ẳng Nưa</t>
  </si>
  <si>
    <t>GĐI: 3 PH; Bếp; San nền</t>
  </si>
  <si>
    <t>1103/QĐ-UBND 31/12/2014</t>
  </si>
  <si>
    <t>Nâng cấp đường dân sinh bản Thái - bản Xôm, xã Mường Đăng</t>
  </si>
  <si>
    <t>GTNT B; 1,32km</t>
  </si>
  <si>
    <t>Nhà văn hóa xã Nặm Lịch</t>
  </si>
  <si>
    <t>610,59m2</t>
  </si>
  <si>
    <t>16-17</t>
  </si>
  <si>
    <t>387/QĐ-UBND 30/3/2016</t>
  </si>
  <si>
    <t>Nhà văn hóa Mường Lạn</t>
  </si>
  <si>
    <t>386/QĐ-UBND 30/3/2016</t>
  </si>
  <si>
    <t>Đường dân sinh bản Pú Tỉu, xã Ẳng Tở</t>
  </si>
  <si>
    <t>xã Ẳng Tở</t>
  </si>
  <si>
    <t xml:space="preserve">GTNT C; 4,61km </t>
  </si>
  <si>
    <t>16-18</t>
  </si>
  <si>
    <t>389/QĐ-UBND 30/3/2016</t>
  </si>
  <si>
    <t>Nâng cấp đường bản Nhộp - Chùa Sấu, xã Mường Lạn</t>
  </si>
  <si>
    <t>xã Mường Lạn</t>
  </si>
  <si>
    <t xml:space="preserve">GTNT C; 6,057km </t>
  </si>
  <si>
    <t>388/QĐ-UBND 30/3/2016</t>
  </si>
  <si>
    <t>Đường dân sinh bản Thẩm Chẩu, xã Xuân Lao</t>
  </si>
  <si>
    <t xml:space="preserve">GTNT B; 3,951km </t>
  </si>
  <si>
    <t>1073/QĐ-UBND 30/10/2017</t>
  </si>
  <si>
    <t>Đường dân sinh liên bản Xôm-bản Pọng-Nậm Pọng, Mường Đăng</t>
  </si>
  <si>
    <t xml:space="preserve">GTNT B; 4,885km </t>
  </si>
  <si>
    <t>1074/QĐ-UBND 30/10/2017</t>
  </si>
  <si>
    <t>Nâng cấp đường dân sinh bản Thái, xã Mường Đăng (Đoạn đỉnh đèo Tằng Quái - Bản Thái)</t>
  </si>
  <si>
    <t xml:space="preserve">GTNT B; 4,367km </t>
  </si>
  <si>
    <t>1075/QĐ-UBND 30/10/2017</t>
  </si>
  <si>
    <t>Nhà văn hóa xã Búng Lao</t>
  </si>
  <si>
    <t>Cấp IV, 01 tầng;</t>
  </si>
  <si>
    <t>Đường dân sinh bản Hua Ná - Pú Khớ, xã Ẳng Cang</t>
  </si>
  <si>
    <t>Nâng cấp đường bản Nhộp - Chùa Sấu, xã Mường Lạn (GĐII: KCH mặt đường)</t>
  </si>
  <si>
    <t>6 km</t>
  </si>
  <si>
    <t>ĐC tăng hạn mức vốn trung hạn 4.591 trđ</t>
  </si>
  <si>
    <t>Đường DS bản Pú Tỉu, xã Ẳng Tở (BT mặt đoạn còn lại + hệ thống thoát nước dọc hoàn chỉnh)</t>
  </si>
  <si>
    <t xml:space="preserve">1,5km; mặt BT + HT thoát nước </t>
  </si>
  <si>
    <t>DA gđ 1 phải được QTHT</t>
  </si>
  <si>
    <t>HUYỆN NẬM PỒ</t>
  </si>
  <si>
    <t xml:space="preserve"> Dự án hoàn thành trước năm 2015</t>
  </si>
  <si>
    <t xml:space="preserve"> Dự án chuyển tiếp giai đoạn 2016-2020</t>
  </si>
  <si>
    <t>Đường vào bản Huổi Tre</t>
  </si>
  <si>
    <t>7,09 km</t>
  </si>
  <si>
    <t>2015-2016</t>
  </si>
  <si>
    <t>116/QĐ-UBND 09/02/2015</t>
  </si>
  <si>
    <t>Nhà Văn hóa xã Chà Cang</t>
  </si>
  <si>
    <t>331,5m2</t>
  </si>
  <si>
    <t>91/QĐ-UBND 05/02/2015</t>
  </si>
  <si>
    <t>Nhà Văn hóa xã Chà Tở</t>
  </si>
  <si>
    <t>109/QĐ-UBND 09/02/2015</t>
  </si>
  <si>
    <t>Nhà Văn hóa xã Nà Hỳ</t>
  </si>
  <si>
    <t>110/QĐ-UBND 09/02/2015</t>
  </si>
  <si>
    <t>Đường Nậm Củng - Hô Củng - Huổi Anh xã Chà Tở</t>
  </si>
  <si>
    <t>GTNT C; 12,7km</t>
  </si>
  <si>
    <t>120/QĐ-UBND 09/02/2015</t>
  </si>
  <si>
    <t>Cầu treo bản Vàng Lếch xã Nậm Tin</t>
  </si>
  <si>
    <t>90m</t>
  </si>
  <si>
    <t>117/QĐ-UBND 09/02/2015</t>
  </si>
  <si>
    <t>Chợ Vàng lếch bản Vàng Lếch xã Nậm Tin</t>
  </si>
  <si>
    <t>15.002; Sxd 600m2</t>
  </si>
  <si>
    <t>154/QĐ-UBND 14/2/2015</t>
  </si>
  <si>
    <t>Đường Huổi Hâu - Huổi Lụ 2 xã Nà Khoa (nay là Đường Huổi Hâu xã Nà Khoa - Huổi Lụ 2 xã Nậm Nhừ)</t>
  </si>
  <si>
    <t>GTNT B; 8,4km</t>
  </si>
  <si>
    <t>2016-2018</t>
  </si>
  <si>
    <t>115/QĐ-UBND 09/02/2015</t>
  </si>
  <si>
    <t>Tiết kiệm 10% TMĐT (1,8 tỷ đồng)</t>
  </si>
  <si>
    <t>XD mới thủy lợi Nà Liềng xã Nà Hỳ</t>
  </si>
  <si>
    <t>xã Nà Hỳ</t>
  </si>
  <si>
    <t>25 ha</t>
  </si>
  <si>
    <t>1091/QĐ-UBND 
30/10/2017</t>
  </si>
  <si>
    <t>Đường đi bản Nậm Ngà 2 (Nhóm 2) xã Nậm Chua, huyện Nậm Pồ</t>
  </si>
  <si>
    <t>xã Nậm Chua</t>
  </si>
  <si>
    <t>GTNT C; 8,24 km</t>
  </si>
  <si>
    <t>1090/QĐ-UBND 
30/10/2017</t>
  </si>
  <si>
    <t>Nâng cấp đường vào bản Vàng Xôn 1, 2 xã Nậm Khăn</t>
  </si>
  <si>
    <t>4,7km đg cấp C</t>
  </si>
  <si>
    <t>Đường đi bản Huổi Hoi, xã Nà Hỳ</t>
  </si>
  <si>
    <t>GTNT C;  6,22 km</t>
  </si>
  <si>
    <t>Đường BT vào bản Nà Khuyết xã Chà Cang</t>
  </si>
  <si>
    <t>GTNT C; L= 3km</t>
  </si>
  <si>
    <t>Trung tâm dạy nghề và giới thiệu việc làm huyện</t>
  </si>
  <si>
    <t>541,3m2</t>
  </si>
  <si>
    <t>Đường Na Cô Sa 3 đi Na cô sa 4</t>
  </si>
  <si>
    <t>Xã Na Cô Xa</t>
  </si>
  <si>
    <t xml:space="preserve">GTNT C;  L= 2km </t>
  </si>
  <si>
    <t>+ bổ sung 535 trđ vốn 10%DP và 20 trđ vốn nhân dân đóng góp</t>
  </si>
  <si>
    <t>Chương trình hỗ trợ huyện nghèo theo QĐ số 275/QĐ-TTg (Chương trình 293 cũ)</t>
  </si>
  <si>
    <t>HUYỆN MƯỜNG CHÀ</t>
  </si>
  <si>
    <t>Dự án chuyển tiếp từ giai đoạn 2011-2015 sang giai đoạn 2016-2020</t>
  </si>
  <si>
    <t>- Dự án dự kiến hoàn thành và bàn giao đưa vào sử dụng trong giai đoạn 2016-2020</t>
  </si>
  <si>
    <t>ĐườngTT xã Bản Huổi Sang - bản Huổi Y, xã Ma Thì Hồ, huyện Mường Chà</t>
  </si>
  <si>
    <t>Ma Thì Hồ</t>
  </si>
  <si>
    <t>2,505km</t>
  </si>
  <si>
    <t xml:space="preserve">  597-20/7/2015 </t>
  </si>
  <si>
    <t>Đường bản Mường Mươn 2 - bản Pú Múa, xã Mường Mươn, huyện Mường Chà</t>
  </si>
  <si>
    <t>Mường Mươn</t>
  </si>
  <si>
    <t>4,157km</t>
  </si>
  <si>
    <t xml:space="preserve"> 592-17/7/2015</t>
  </si>
  <si>
    <t>Trạm Y tế xã Huổi Mí</t>
  </si>
  <si>
    <t>Huổi Mí</t>
  </si>
  <si>
    <t xml:space="preserve">10 Phòng </t>
  </si>
  <si>
    <t xml:space="preserve"> 554-07/07/2015</t>
  </si>
  <si>
    <t>Nâng cấp Đường QL 12 trung tâm xã Hừa Ngài, huyện Mường Chà</t>
  </si>
  <si>
    <t>Hừa Ngài</t>
  </si>
  <si>
    <t>10,44 km</t>
  </si>
  <si>
    <t>2015-2017</t>
  </si>
  <si>
    <t xml:space="preserve"> 596-20/7/2015</t>
  </si>
  <si>
    <t>- Dự án dự kiến hoàn thành và bàn giao đưa vào sử dụng giai đoạn 2016-2020</t>
  </si>
  <si>
    <t>Trường Tiểu học Nậm He</t>
  </si>
  <si>
    <t xml:space="preserve"> Mường Tùng</t>
  </si>
  <si>
    <t>8 phòng học</t>
  </si>
  <si>
    <t xml:space="preserve"> 2016-2017</t>
  </si>
  <si>
    <t xml:space="preserve"> 211-23/2/2016</t>
  </si>
  <si>
    <t>Thuỷ lợi Lùng Thàng</t>
  </si>
  <si>
    <t>Pa Ham</t>
  </si>
  <si>
    <t>20 ha</t>
  </si>
  <si>
    <t>2017 - 2018</t>
  </si>
  <si>
    <t xml:space="preserve"> 436-30/3/2016</t>
  </si>
  <si>
    <t>NC Thuỷ Lợi Sa Lông 2</t>
  </si>
  <si>
    <t xml:space="preserve"> Sa Lông</t>
  </si>
  <si>
    <t xml:space="preserve"> 2017-2018</t>
  </si>
  <si>
    <t xml:space="preserve"> 435-30/3/2016</t>
  </si>
  <si>
    <t>Trạm y tế xã Na Sang</t>
  </si>
  <si>
    <t xml:space="preserve"> Na Sang</t>
  </si>
  <si>
    <t>10 ph</t>
  </si>
  <si>
    <t xml:space="preserve"> 601-29/4/2016</t>
  </si>
  <si>
    <t>Công trình NSH bản Ka Dí Nhè</t>
  </si>
  <si>
    <t xml:space="preserve"> Huổi lèng</t>
  </si>
  <si>
    <t>43 hộ</t>
  </si>
  <si>
    <t xml:space="preserve"> 752-3/6/2016</t>
  </si>
  <si>
    <t>Thuỷ nông Ích Co Mạ</t>
  </si>
  <si>
    <t>50 ha</t>
  </si>
  <si>
    <t xml:space="preserve"> 2016-2018</t>
  </si>
  <si>
    <t xml:space="preserve">Đường bản sa lông 2 - bản Sa Lông 3 </t>
  </si>
  <si>
    <t xml:space="preserve">
Sa Lông</t>
  </si>
  <si>
    <t xml:space="preserve"> 4,9km</t>
  </si>
  <si>
    <t>Đường đi bản Huổi Điết - bản Nậm Biền - bản Đáu Đanh, xã Mường Tùng, huyện Mường Chà</t>
  </si>
  <si>
    <t>xã Mường Tùng</t>
  </si>
  <si>
    <t>5,5km</t>
  </si>
  <si>
    <t>Bổ sung danh mục</t>
  </si>
  <si>
    <t>Trường mầm non Sa
Lông, xã Sa Lông</t>
  </si>
  <si>
    <t>Nhà cấp III
-2 tầng</t>
  </si>
  <si>
    <t>2019
-2020</t>
  </si>
  <si>
    <t>Nước sinh hoạt bản
Phong Châu, xã Pa Ham</t>
  </si>
  <si>
    <t>Xã Pa
Ham</t>
  </si>
  <si>
    <t>47 hộ
với 141 khẩu</t>
  </si>
  <si>
    <t>HUYỆN TUẦN GIÁO</t>
  </si>
  <si>
    <t>Các dự án hoàn thành trước 30/12/2017</t>
  </si>
  <si>
    <t>Thủy lợi bản Khong Nưa, xã Mường Khong</t>
  </si>
  <si>
    <t>Mường Khong</t>
  </si>
  <si>
    <t>14,66ha</t>
  </si>
  <si>
    <t>425-29/5/2015</t>
  </si>
  <si>
    <t>Sửa chữa đường + ngầm tràn liên hợp bản Lói - Ngúa Trong</t>
  </si>
  <si>
    <t>Quài Tở</t>
  </si>
  <si>
    <t>0,2km</t>
  </si>
  <si>
    <t>464-16/6/2015</t>
  </si>
  <si>
    <t>Sửa chữa đường Huổi Khạ - Pú Piến xã Mường Mùn</t>
  </si>
  <si>
    <t>Mường Mùn</t>
  </si>
  <si>
    <t>5km</t>
  </si>
  <si>
    <t>463-16/6/2015</t>
  </si>
  <si>
    <t>Sửa chữa đường + ngầm tràn liên hợp bản Có, bản Lạ xã Quài Tở</t>
  </si>
  <si>
    <t>481-19/6/2015</t>
  </si>
  <si>
    <t>Sửa chữa đường Bản Hỏm - Gia Bọp xã Mường Mùn</t>
  </si>
  <si>
    <t>558-
8/7/2015</t>
  </si>
  <si>
    <t>Sửa chữa đường Trung tâm xã Ta Ma - bản Phiêng Cải</t>
  </si>
  <si>
    <t xml:space="preserve"> Ta Ma</t>
  </si>
  <si>
    <t>6km</t>
  </si>
  <si>
    <t>559-
8/7/2015</t>
  </si>
  <si>
    <t>NSH bản Ten Cá</t>
  </si>
  <si>
    <t>Quài Cang</t>
  </si>
  <si>
    <t>99 hộ</t>
  </si>
  <si>
    <t>Sửa chữa đường bản Bó - bản Nôm - bản Chăn</t>
  </si>
  <si>
    <t>Chiềng Đông</t>
  </si>
  <si>
    <t xml:space="preserve">Thủy lợi bản Hốc </t>
  </si>
  <si>
    <t>8ha</t>
  </si>
  <si>
    <t>Cải tạo, nâng cấp Thủy lợi Nà Sái  (Nà Đén)</t>
  </si>
  <si>
    <t xml:space="preserve"> Nà Sáy</t>
  </si>
  <si>
    <t>17ha</t>
  </si>
  <si>
    <t>Thủy lợi bản Thín B</t>
  </si>
  <si>
    <t>19 ha</t>
  </si>
  <si>
    <t>Thủy lợi Nậm Chăn</t>
  </si>
  <si>
    <t>20ha</t>
  </si>
  <si>
    <t>Trường THCS Khong Hin</t>
  </si>
  <si>
    <t xml:space="preserve"> Mường Khong</t>
  </si>
  <si>
    <t>12 phòng học</t>
  </si>
  <si>
    <t xml:space="preserve"> Trạm y tế xã Nà Tòng</t>
  </si>
  <si>
    <t>NSH trung tâm xã Chiềng Đông</t>
  </si>
  <si>
    <t xml:space="preserve"> Chiềng Đông</t>
  </si>
  <si>
    <t>130 hộ</t>
  </si>
  <si>
    <t>Sửa chữa đường Mường Khong- bản Hua Sát</t>
  </si>
  <si>
    <t>10km</t>
  </si>
  <si>
    <t>Nâng cấp đường QL6- bản Lồng (giai đoạn 2)</t>
  </si>
  <si>
    <t>II</t>
  </si>
  <si>
    <t>Chú ý vốn giao 3 năm 2016-2018 đang vượt hạn mức vốn gđoạn là 8.678 trđ</t>
  </si>
  <si>
    <t>do đó phải ĐC tăng KH trung hạn</t>
  </si>
  <si>
    <t>Nâng cấp đường Na Sang - Pá Pan - Tà Té, xã Noong U</t>
  </si>
  <si>
    <t xml:space="preserve"> Các hạng mục phụ trợ các Trạm y tế xã: Keo Lôm, Tìa Dình, Luân Giói, huyện Điện Biên Đông, tỉnh Điện Biên</t>
  </si>
  <si>
    <t xml:space="preserve"> Nâng cấp mặt đường Nậm Pố - Nậm Vì xã Nậm Vì huyện Mường Nhé (Đoạn nối tiếp mặt đường bê tông đã được phê duyệt đầu tư đến bản Huổi Lũm)</t>
  </si>
  <si>
    <t>Tr.đó: gồm vốn 10% DP trung hạn 13.246 trđ + vốn dân góp là 34 trđ</t>
  </si>
  <si>
    <t xml:space="preserve"> Nâng cấp đường DS bản Pá Cha, xã Ẳng Tở</t>
  </si>
  <si>
    <t>Vốn dân góp: 9,174 trđ</t>
  </si>
  <si>
    <t xml:space="preserve"> Nhà văn hóa xã Nà Bùng, huyện Nậm Pồ</t>
  </si>
  <si>
    <t xml:space="preserve"> Nhà văn hóa bản Nộc Cốc, xã Vàng Đán</t>
  </si>
  <si>
    <t>Xã Nà Bủng</t>
  </si>
  <si>
    <t>xã Vàng Đán</t>
  </si>
  <si>
    <t>1093/QĐ-UBND 29/10/2019</t>
  </si>
  <si>
    <t>287/QĐ-UBND 30/10/2019</t>
  </si>
  <si>
    <t>1039/QĐ-UBND 25/10/2019</t>
  </si>
  <si>
    <t>62/QĐ-UBND 30/10/2019</t>
  </si>
  <si>
    <t>77/QĐ-UBND 30/10/2019</t>
  </si>
  <si>
    <t>1066/QĐ-UBND 14/11/2018</t>
  </si>
  <si>
    <t>1079/QĐ-UBND 29/10/2019</t>
  </si>
  <si>
    <t xml:space="preserve">Các dự án bổ sung </t>
  </si>
  <si>
    <t>1004/QĐ-UBND 30/10/2018</t>
  </si>
  <si>
    <t>1001/QĐ-UBND 30/10/2018</t>
  </si>
  <si>
    <t>1003/QĐ-UBND 30/10/2018</t>
  </si>
  <si>
    <t>155/QĐ-UBND 30/10/2018</t>
  </si>
  <si>
    <t>979/QĐ-UBND 30/10/2018</t>
  </si>
  <si>
    <t>940/QĐ-UBND 26/10/2018</t>
  </si>
  <si>
    <t>987/QĐ-UBND 30/10/2018</t>
  </si>
  <si>
    <t>1005/QĐ-UBND 30/10/2018</t>
  </si>
  <si>
    <t>98/QĐ-UBND 30/10/2018</t>
  </si>
  <si>
    <t>113/QĐ-UBND 30/10/2018</t>
  </si>
  <si>
    <t>43a/QĐ-UBND 30/10/2018</t>
  </si>
  <si>
    <t>44/QĐ-UBND 30/10/2018</t>
  </si>
  <si>
    <t>1091/QĐ-UBND 29/10/2019</t>
  </si>
  <si>
    <t>1006/QĐ-UBND 30/10/2018</t>
  </si>
  <si>
    <t>1007/QĐ-UBND 30/10/2018</t>
  </si>
  <si>
    <r>
      <t xml:space="preserve">118/QĐ-UBND 09/02/2015; </t>
    </r>
    <r>
      <rPr>
        <sz val="12"/>
        <rFont val="Times New Roman"/>
        <family val="1"/>
      </rPr>
      <t>1021/QĐ-UBND 07/5/2018</t>
    </r>
  </si>
  <si>
    <t>Dự án hoàn thành năm 2015</t>
  </si>
  <si>
    <t>CL của NSH Pa Ma</t>
  </si>
  <si>
    <t>Các CT quyết toán còn thiếu vốn</t>
  </si>
  <si>
    <t>Các dự án bổ sung</t>
  </si>
  <si>
    <t>Đoạn đầu đường dân sinh Đèo gió-Vàng Chua đến Km2 đường Trung Thu-Lao Xả Phình, huyện Tủa Chùa</t>
  </si>
  <si>
    <t>17-20</t>
  </si>
  <si>
    <t>1372/QĐ-UBND 28/10/2016; 335/QĐ-UBND 24/4/2018; 1155/QĐ-UBND 06/11/2019</t>
  </si>
  <si>
    <t>Vốn năm 2020 còn dư so với KH trung hạn</t>
  </si>
  <si>
    <t>Phân bổ cho các dự án sử dụng vốn 10% dự phòng kế hoạch trung hạn</t>
  </si>
  <si>
    <t xml:space="preserve"> Chương trình 30a</t>
  </si>
  <si>
    <t xml:space="preserve"> Dự án nhóm C</t>
  </si>
  <si>
    <t>Tuyến đường Sính Phình - Trung Thu - Lao Xả Phình - Tả Sìn Thàng (từ bản Phô, xã Trung Thu đến thôn 3, xã Lao Xả Phình)</t>
  </si>
  <si>
    <t xml:space="preserve"> Nhà văn hóa xã Keo Lôm</t>
  </si>
  <si>
    <t xml:space="preserve"> Nhà văn hóa xã Pú Hồng</t>
  </si>
  <si>
    <t xml:space="preserve"> Nhà Văn hóa xã Sa Dung</t>
  </si>
  <si>
    <t xml:space="preserve"> Nhà văn hóa xã Tìa Dình</t>
  </si>
  <si>
    <t>Nâng cấp đường Na Sang - Pá Pan - Tà Té xã Nong U</t>
  </si>
  <si>
    <t>Nâng cấp đường Pá Nậm - Háng Pa xã Chiềng Sơ</t>
  </si>
  <si>
    <t>Nâng cấp mặt đường Nậm Pố - Nậm Vì, xã Nậm Vì</t>
  </si>
  <si>
    <t>Nâng cấp mặt đường từ trung tâm xã Ngối Cáy - Chan III, xã Ngối Cáy</t>
  </si>
  <si>
    <t>Đường Na Cô Sa 3 đi Na Cô Sa 4</t>
  </si>
  <si>
    <t>Đường bê tông bản Đề Tinh - đi bản Phìn Hồ</t>
  </si>
  <si>
    <t>Chương trình 275</t>
  </si>
  <si>
    <t>Nước sinh hoạt trung tâm xã Nậm Nèn</t>
  </si>
  <si>
    <t>Đường BT QL6 - bản Cứu Táng, xã Nậm Nèn</t>
  </si>
  <si>
    <t>Đường từ Hua Mức 1 đến trụ sở tạm xã Pú Xi</t>
  </si>
  <si>
    <t>Phân bổ cho các DA có cùng mục tiêu nhưng còn thiếu vốn</t>
  </si>
  <si>
    <t>Đường Km30 QL 279-Ngối Cáy (Kiến cố mặt đường 5,5km)</t>
  </si>
  <si>
    <t>Trường bán trú THCS Mường Nhé</t>
  </si>
  <si>
    <t>Nhà Đa năng và các hạng mục phụ trợ trường THPT huyện Mường Nhé</t>
  </si>
  <si>
    <t>Đường quốc lộ 4h đến bản chà lọi 1 và 2</t>
  </si>
  <si>
    <t>Nhà Văn hóa xã Sín thầu</t>
  </si>
  <si>
    <t>Nhà Văn hóa xã Sen Thượng</t>
  </si>
  <si>
    <t>Nhà Văn hóa xã Chung Chải</t>
  </si>
  <si>
    <t>Nhà Văn hóa xã Nậm Kè</t>
  </si>
  <si>
    <t>Nhà Văn hóa xã Huổi Lếch</t>
  </si>
  <si>
    <t>Nhà Văn hóa xã Nậm Vì</t>
  </si>
  <si>
    <t>Nghĩa trang nhân dân huyện Mường Nhé</t>
  </si>
  <si>
    <t>Trường Mầm Non Mường Mùn</t>
  </si>
  <si>
    <t>(4)</t>
  </si>
  <si>
    <t>Huyện Nận Pồ</t>
  </si>
  <si>
    <t>Đường, cầu vào trường học xã Nậm Nhừ</t>
  </si>
  <si>
    <t>Đường bê tông từ trung tâm xã Nậm Chua đi bản Nậm Chua 5</t>
  </si>
  <si>
    <t>(5)</t>
  </si>
  <si>
    <t>Huyện Điện Biên Đồng</t>
  </si>
  <si>
    <t>Nâng cấp, sửa chữa đường giao thông Ma Thì Hồ - Nậm Chua, huyện Mường Chà</t>
  </si>
  <si>
    <t>Đường giao thông bản Lùng Tạo - bản Huổi Mí 2, xã Huổi Mí</t>
  </si>
  <si>
    <t>Đường giao thông Km8+150 (đường QL12- Hừa Ngài) - bản Thèn Pả (L=4,4km)</t>
  </si>
  <si>
    <t>ĐBĐ</t>
  </si>
  <si>
    <t>1010/QĐ-UBND 23/10/2019</t>
  </si>
  <si>
    <t>M.Nhé</t>
  </si>
  <si>
    <t>835/QĐ-UBND 06/9/2019</t>
  </si>
  <si>
    <t>M.Ảng</t>
  </si>
  <si>
    <t>Nậm Pồ</t>
  </si>
  <si>
    <t>882/QĐ-UBND 18/9/2019</t>
  </si>
  <si>
    <t>829/QĐ-UBND 05/9/2019</t>
  </si>
  <si>
    <t>xã Nậm Nèn</t>
  </si>
  <si>
    <t>1069 - 29/10/2019</t>
  </si>
  <si>
    <t>GTNT B, L=4km</t>
  </si>
  <si>
    <t>883/QĐ-UBND 18/9/2019</t>
  </si>
  <si>
    <t>866/QĐ-UBND 11/10/2018</t>
  </si>
  <si>
    <t>1060/QĐ-UBND 29/10/2019</t>
  </si>
  <si>
    <t>105- 31/10/2018</t>
  </si>
  <si>
    <t>44e- 31/10/2018</t>
  </si>
  <si>
    <t>491a- 31/10/2018</t>
  </si>
  <si>
    <t>66b- 31/10/2018</t>
  </si>
  <si>
    <t>136a- 30/10/2018</t>
  </si>
  <si>
    <t>64c- 31/10/2018</t>
  </si>
  <si>
    <t>1072/QĐ-UBND 29/10/2019</t>
  </si>
  <si>
    <t>1114- 29/10/2019</t>
  </si>
  <si>
    <t>1113- 29/10/2019</t>
  </si>
  <si>
    <t>1097- 29/10/2019</t>
  </si>
  <si>
    <t>1000- 17/10/2019</t>
  </si>
  <si>
    <t>(30a+275)</t>
  </si>
  <si>
    <t>Phân bổ vốn cho các Chương trình, dự án 30a trong KH trung hạn</t>
  </si>
  <si>
    <t>II.1</t>
  </si>
  <si>
    <t>II.2</t>
  </si>
  <si>
    <t>B.1</t>
  </si>
  <si>
    <t>III</t>
  </si>
  <si>
    <t>III.1</t>
  </si>
  <si>
    <t>III.2</t>
  </si>
  <si>
    <t>986, 30/10/2018</t>
  </si>
  <si>
    <t>1002, 30/10/2018</t>
  </si>
  <si>
    <t>735 - 01/8/2019</t>
  </si>
  <si>
    <t>807 - 27/8/2019</t>
  </si>
  <si>
    <t>Dự án tiếp chi từ 2011-2015</t>
  </si>
  <si>
    <t>Dự án khởi công mới 2016-2020</t>
  </si>
  <si>
    <t xml:space="preserve">Các dự án hoàn thành trước 31/12/2017 </t>
  </si>
  <si>
    <t>988; 30/10/2018</t>
  </si>
  <si>
    <t>946; 29/10/2018</t>
  </si>
  <si>
    <t>989; 30/10/2018</t>
  </si>
  <si>
    <t>947; 29/10/2018</t>
  </si>
  <si>
    <t>948; 29/10/2018</t>
  </si>
  <si>
    <t>949; 29/10/2018</t>
  </si>
  <si>
    <t>1011; 30/10/2018</t>
  </si>
  <si>
    <t>991; 30/10/2018</t>
  </si>
  <si>
    <t>1107 - 29/10/2019</t>
  </si>
  <si>
    <t>xã Tỏa Tình</t>
  </si>
  <si>
    <t>1110 - 29/10/2019</t>
  </si>
  <si>
    <t>Đường TT xã Tỏa Tình - bản Hua Sa A</t>
  </si>
  <si>
    <t>1109 - 29/10/2019</t>
  </si>
  <si>
    <t>(Kèm theo Tờ trình số ......../TTr-UBND ngày       tháng 11 năm 2019 của UBND tỉnh Điện Biên)</t>
  </si>
  <si>
    <t>đã cpopy của cn sửa</t>
  </si>
  <si>
    <t>Đường giao thông TT xã Hừa Ngài - bản Phua Di Tổng</t>
  </si>
  <si>
    <t>702/QĐ-UBND 21/8/2018</t>
  </si>
  <si>
    <t>sửa 10h33'</t>
  </si>
  <si>
    <t xml:space="preserve"> Sửa chữa, nâng cấp đường Trụ Sở xã mới - Bản Chua Ta B</t>
  </si>
  <si>
    <t xml:space="preserve"> Sửa chữa, nâng cấp đường Háng Lìa, Tìa Dình</t>
  </si>
  <si>
    <t>341/QĐ-UBND
19/4/2011</t>
  </si>
  <si>
    <t xml:space="preserve"> Đoạn Phì Nhừ - Phình Giàng (GĐ I)</t>
  </si>
  <si>
    <t>Biểu số 2b</t>
  </si>
  <si>
    <t>DANH MỤC DỰ ÁN ĐỀ NGHỊ ĐIỀU CHỈNH KẾ HOẠCH ĐẦU TƯ TRUNG HẠN GIAI ĐOẠN 2016-2020 VỐN CHƯƠNG TRÌNH MỤC TIÊU QUỐC GIA (CHƯƠNG TRÌNH 30A + CHƯƠNG TRÌNH 275)</t>
  </si>
  <si>
    <t>Chương trình mục tiêu quốc gia giảm nghèo bền vững (Chương trình 30a + Chương trình 275)</t>
  </si>
  <si>
    <r>
      <t xml:space="preserve">Lũy kế số vốn đã bố trí từ khởi công đến hết năm 2015 </t>
    </r>
    <r>
      <rPr>
        <vertAlign val="superscript"/>
        <sz val="12"/>
        <rFont val="Times New Roman"/>
        <family val="1"/>
      </rPr>
      <t>(*)</t>
    </r>
  </si>
  <si>
    <t>A</t>
  </si>
  <si>
    <t>Chương trình mục tiêu quốc gia xây dựng nông thôn mới</t>
  </si>
  <si>
    <t>Các dự án Giáo dục nợ đọng XDCB đưa vào Chương trình NTM</t>
  </si>
  <si>
    <t>Dự án hoàn thành và bàn giao đưa vào sử dụng trước ngày 31/12/2014</t>
  </si>
  <si>
    <t>1</t>
  </si>
  <si>
    <t>Nhà đa năng, sân đường nội bộ trường THPT Phan Đình Giót</t>
  </si>
  <si>
    <t>TP ĐBP</t>
  </si>
  <si>
    <t>2012-2013</t>
  </si>
  <si>
    <t>1221/QĐ-SGDĐT 21/10/2011</t>
  </si>
  <si>
    <t>2</t>
  </si>
  <si>
    <t>Cải tạo, nâng cấp trường phổ thông DTNT THPT huyện Tủa Chùa</t>
  </si>
  <si>
    <t>1219/QĐ-SGDĐT 20/10/2011</t>
  </si>
  <si>
    <t>3</t>
  </si>
  <si>
    <t>Cải tạo, nâng cấp trường phổ thông DTNT THPT huyện Điện Biên</t>
  </si>
  <si>
    <t>H.Điện Biên</t>
  </si>
  <si>
    <t>1220/QĐ-SGDĐT 21/10/2011</t>
  </si>
  <si>
    <t>4</t>
  </si>
  <si>
    <t>Cải tạo, nâng cấp trường phổ thông DTNT THPT huyện Tuần Giáo</t>
  </si>
  <si>
    <t>Tuần Giáo</t>
  </si>
  <si>
    <t>1218/QĐ-SGDĐT 21/10/2011</t>
  </si>
  <si>
    <t>5</t>
  </si>
  <si>
    <t>Bổ sung csvc, thiết bị dạy học các điểm trường vùng dân tộc ít người</t>
  </si>
  <si>
    <t>M.Nhé và Đ.Biên</t>
  </si>
  <si>
    <t>2013-2014</t>
  </si>
  <si>
    <t>978/QĐ-UBND 29/10/2012</t>
  </si>
  <si>
    <t>6</t>
  </si>
  <si>
    <t>Trường phổ thông DTNT THPT huyện Mường Nhé (gđ 2)</t>
  </si>
  <si>
    <t>Mường Nhé</t>
  </si>
  <si>
    <t>2012-2015</t>
  </si>
  <si>
    <t>975/QĐ-UBND 29/10/2012</t>
  </si>
  <si>
    <t>7</t>
  </si>
  <si>
    <t xml:space="preserve"> Cải tạo, nâng cấp trường THPT chuyên Lê Quý Đôn</t>
  </si>
  <si>
    <t xml:space="preserve"> 976/QĐ-UBND 29/10/2012</t>
  </si>
  <si>
    <t>8</t>
  </si>
  <si>
    <t xml:space="preserve"> Trường THPT Tả Sìn Thàng</t>
  </si>
  <si>
    <t>2012-2014</t>
  </si>
  <si>
    <t xml:space="preserve"> 977/QĐ-UBND ngày 29/10/2012</t>
  </si>
  <si>
    <t>9</t>
  </si>
  <si>
    <t>Trường phổ thông DTNT THPT huyện Mường Ảng</t>
  </si>
  <si>
    <t>Mường Ảng</t>
  </si>
  <si>
    <t>1707/QĐ-SGDĐT 30/10/2012</t>
  </si>
  <si>
    <t>Dự án chuyển tiếp sang giai đoạn năm 2015</t>
  </si>
  <si>
    <t>Trường THPT Lương Thế Vinh</t>
  </si>
  <si>
    <t>853/QĐ-UBND  10/9/2012</t>
  </si>
  <si>
    <t>Chương trình mục tiêu quốc gia xây dựng nông thôn mới các huyện (tỷ lệ 90%)</t>
  </si>
  <si>
    <t>Giảm 1.407 triệu đồng vốn NSTW tiếp chi cho 02 dự án NSVSMT chuyển sang</t>
  </si>
  <si>
    <t>-</t>
  </si>
  <si>
    <t xml:space="preserve">Tiếp chi dự án chuyển tiếp từ giai đoạn 2011-2015 sang giai đoạn 2016-2020 </t>
  </si>
  <si>
    <t>Giảm 2.224 triệu đồng do dùng vốn TPCP</t>
  </si>
  <si>
    <t>Tiếp chi</t>
  </si>
  <si>
    <t>Giảm vốn NSTW tiếp chi cho 02 dự án NSVSMT chuyển sang</t>
  </si>
  <si>
    <t>Dự án khởi công mới trong giai đoạn 2016-2020</t>
  </si>
  <si>
    <t>Đường nội bản Huổi Sứa Cuông - Ẳng Cang</t>
  </si>
  <si>
    <t>L=800m</t>
  </si>
  <si>
    <t>16-16</t>
  </si>
  <si>
    <t>Số 624, ngày 30/3/2016</t>
  </si>
  <si>
    <t>Khởi công mới năm 2016, giảm 931 triệu vốn TPCP</t>
  </si>
  <si>
    <t>Đường nội bản Thái, xã Mường Đăng</t>
  </si>
  <si>
    <t>L=600m</t>
  </si>
  <si>
    <t>Số 628, ngày 30/3/2016</t>
  </si>
  <si>
    <t>Khởi công mới năm 2016, giảm 893,917 triệu vốn TPCP</t>
  </si>
  <si>
    <t>Đường nội bản Co Hịa - Xuân Lao</t>
  </si>
  <si>
    <t>xã Xuân Lao</t>
  </si>
  <si>
    <t>L=450m</t>
  </si>
  <si>
    <t>Số 626, ngày 30/3/2016</t>
  </si>
  <si>
    <t>Khởi công mới năm 2016; giảm 800 triệu đồng vốn TPCP</t>
  </si>
  <si>
    <t>Đường nội bản Ngối - Ngối Cáy</t>
  </si>
  <si>
    <t>Xã Ngối Cáy</t>
  </si>
  <si>
    <t>L=1,2km</t>
  </si>
  <si>
    <t>Số 627, ngày 30/3/2016</t>
  </si>
  <si>
    <t>Khởi công mới năm 2016; Giảm 1.230 triệu đồng vốn TPCP</t>
  </si>
  <si>
    <t>Đường nội đồng bản Củ - Ẳng Nưa</t>
  </si>
  <si>
    <t>Số 625, ngày 30/3/2016</t>
  </si>
  <si>
    <t>Khởi công mới năm 2016; Giảm 1.120 triệu đồng vốn TPCP</t>
  </si>
  <si>
    <t>Khu thể thao xã Búng Lao</t>
  </si>
  <si>
    <t>17-17</t>
  </si>
  <si>
    <t>1655, ngày 29/9/2017</t>
  </si>
  <si>
    <t>Đường nội bản Tát Hẹ - Ẳng nưa</t>
  </si>
  <si>
    <t>1,7km</t>
  </si>
  <si>
    <t>1659, ngày 29/9/2017</t>
  </si>
  <si>
    <t>Đường nội bản Pú Súa - Ẳng Cang</t>
  </si>
  <si>
    <t>1653, ngày 29/9/2017</t>
  </si>
  <si>
    <t>Nhà Văn hóa bản Nà Lấu - Búng Lao</t>
  </si>
  <si>
    <t>170, ngày 30/10/2017</t>
  </si>
  <si>
    <t>10</t>
  </si>
  <si>
    <t>Đường nội bản Pha Hún, xã Xuân Lao</t>
  </si>
  <si>
    <t>800m</t>
  </si>
  <si>
    <t>11</t>
  </si>
  <si>
    <t>Nhà Văn hóa bản Quyết Tiến 1, 2 - Búng Lao</t>
  </si>
  <si>
    <t>171, ngày 30/10/2017</t>
  </si>
  <si>
    <t>12</t>
  </si>
  <si>
    <t>Nhà văn hóa bản Xuân Món - Búng Lao</t>
  </si>
  <si>
    <t>173, ngày 30/10/2017</t>
  </si>
  <si>
    <t>13</t>
  </si>
  <si>
    <t>Đường Liên bản Xuân Lứa - Co Sản, xã Mường Lạn</t>
  </si>
  <si>
    <t>L=1,0km</t>
  </si>
  <si>
    <t>123, ngày 30/10/2017</t>
  </si>
  <si>
    <t>14</t>
  </si>
  <si>
    <t>Nhà Văn hóa bản Pú Nen - Búng Lao</t>
  </si>
  <si>
    <t>174, ngày 30/10/2017</t>
  </si>
  <si>
    <t>15</t>
  </si>
  <si>
    <t>Sửa chữa NSH bản Nhộp - Mường Lạn</t>
  </si>
  <si>
    <t>122, ngày 30/10/2017</t>
  </si>
  <si>
    <t>16</t>
  </si>
  <si>
    <t>Đường nội bản Tọ Nọ - Ẳng Tở</t>
  </si>
  <si>
    <t>L=0,8km</t>
  </si>
  <si>
    <t>124, ngày 30/10/2017</t>
  </si>
  <si>
    <t>17</t>
  </si>
  <si>
    <t>Đường nội bản Chan I - Mường Đăng</t>
  </si>
  <si>
    <t>L=1,8km</t>
  </si>
  <si>
    <t>116, ngày 30/10/2017</t>
  </si>
  <si>
    <t>18</t>
  </si>
  <si>
    <t>Đường nội bản Co En, xã Ẳng Cang</t>
  </si>
  <si>
    <t>L=900m</t>
  </si>
  <si>
    <t>19</t>
  </si>
  <si>
    <t>Phai Co Phát bản Co Sáng, xã Ẳng Nưa</t>
  </si>
  <si>
    <t>2ha</t>
  </si>
  <si>
    <t>20</t>
  </si>
  <si>
    <t>Đường nội bản Hua Ná A - Mường Lạn</t>
  </si>
  <si>
    <t>400m</t>
  </si>
  <si>
    <t>21</t>
  </si>
  <si>
    <t>Đường nội bản Lịch Cang - Nặm Lịch</t>
  </si>
  <si>
    <t>22</t>
  </si>
  <si>
    <t>Đường nội bản Đắng - Mường Đăng</t>
  </si>
  <si>
    <t>23</t>
  </si>
  <si>
    <t>Đường nội bản Pom Ké - Ẳng Cang</t>
  </si>
  <si>
    <t>L=500m</t>
  </si>
  <si>
    <t>24</t>
  </si>
  <si>
    <t>Đường nội bản Tọ Cang - Ẳng Tở</t>
  </si>
  <si>
    <t>25</t>
  </si>
  <si>
    <t>Đường từ bản Bó Mạy đi Trung tâm hành chính huyện</t>
  </si>
  <si>
    <t>200m</t>
  </si>
  <si>
    <t>26</t>
  </si>
  <si>
    <t>Đường nội bản Hua Ná B (kéo dài), xã Mường Lạn</t>
  </si>
  <si>
    <t>500m</t>
  </si>
  <si>
    <t>27</t>
  </si>
  <si>
    <t>Đường nội bản Nhộp - Mường Lạn</t>
  </si>
  <si>
    <t>28</t>
  </si>
  <si>
    <t>Đường nội bản Lao, xã Xuân Lao</t>
  </si>
  <si>
    <t>29</t>
  </si>
  <si>
    <t>Xây dựng khu thể thao xã Ẳng Nưa</t>
  </si>
  <si>
    <t>30</t>
  </si>
  <si>
    <t>Đường giao thông đi khu sản xuất bản Hồng Sọt, xã Búng Lao</t>
  </si>
  <si>
    <t>31</t>
  </si>
  <si>
    <t>Đường nội bản Pọng - Mường Đăng</t>
  </si>
  <si>
    <t>32</t>
  </si>
  <si>
    <t>Đường nội bản Lịch Tở - Nặm Lịch</t>
  </si>
  <si>
    <t>33</t>
  </si>
  <si>
    <t>NSH bản Co Cọ, xã Ngối Cáy</t>
  </si>
  <si>
    <t>34</t>
  </si>
  <si>
    <t>Sửa chữa, nâng cấp NSH bản Phiêng Lao, xã Xuân Lao</t>
  </si>
  <si>
    <t>35</t>
  </si>
  <si>
    <t>Sửa chữa, nâng cấp NSH bản Khén - Xuân Lứa, xã Xuân Lao</t>
  </si>
  <si>
    <t>36</t>
  </si>
  <si>
    <t>Sửa chữa, nâng cấp NSH bản Pú Khớ, xã Ẳng Cang</t>
  </si>
  <si>
    <t>37</t>
  </si>
  <si>
    <t>Sửa chữa, nâng cấp NSH bản Huổi Lướng, xã Nặm Lịch</t>
  </si>
  <si>
    <t>38</t>
  </si>
  <si>
    <t>Sửa chữa, nâng cấp NSH bản Thẩm Hóng, xã Nặm Lịch</t>
  </si>
  <si>
    <t>39</t>
  </si>
  <si>
    <t>Sửa chữa, nâng cấp NSH bản Huổi Cắm, xã Búng Lao</t>
  </si>
  <si>
    <t>40</t>
  </si>
  <si>
    <t>Sửa chữa, nâng cấp NSH bản Chan I, xã Mường Đăng</t>
  </si>
  <si>
    <t>41</t>
  </si>
  <si>
    <t>Ngầm tràn từ bản Ten sang khu sản xuất</t>
  </si>
  <si>
    <t>42</t>
  </si>
  <si>
    <t>Sửa chữa, nâng cấp NSH bản Pọng, xã Mường Đăng</t>
  </si>
  <si>
    <t>43</t>
  </si>
  <si>
    <t>Sửa chữa, nâng cấp NSH bản Co En, xã Ẳng Cang</t>
  </si>
  <si>
    <t>44</t>
  </si>
  <si>
    <t>Sửa chữa, nâng cấp NSH bản Pá Nặm, xã Mường Lạn</t>
  </si>
  <si>
    <t>45</t>
  </si>
  <si>
    <t>Sửa chữa, nâng cấp NSH bản Giảng, xã Ẳng Cang</t>
  </si>
  <si>
    <t>46</t>
  </si>
  <si>
    <t>Nhà văn hóa bản Hua Ná, xã Ẳng Cang</t>
  </si>
  <si>
    <t>47</t>
  </si>
  <si>
    <t>Đườngnội bản Chăn nuôi, xã Mường Đăng</t>
  </si>
  <si>
    <t>48</t>
  </si>
  <si>
    <t>Trường mầm non trung tâm xã Búng Lao</t>
  </si>
  <si>
    <t>49</t>
  </si>
  <si>
    <t>Trường mầm non Mường Đăng(điểm trung tâm)</t>
  </si>
  <si>
    <t>6 phòng học</t>
  </si>
  <si>
    <t>50</t>
  </si>
  <si>
    <t>Nhà văn hóa xã Mường Đăng</t>
  </si>
  <si>
    <t>51</t>
  </si>
  <si>
    <t>Trường mầm non Nặm Lịch (điểm bản Thẩm Phẩng)</t>
  </si>
  <si>
    <t>2 phòng học</t>
  </si>
  <si>
    <t>52</t>
  </si>
  <si>
    <t>Đường từ km9+755,9m đến ngã ba đi bản Lịch Cang, xã Nặm Lịch</t>
  </si>
  <si>
    <t>GTNT A; L=1,2km</t>
  </si>
  <si>
    <t>53</t>
  </si>
  <si>
    <t>Đường nội bản Hua Nặm, xã Ẳng Cang</t>
  </si>
  <si>
    <t>54</t>
  </si>
  <si>
    <t>Đường dân sinh bản Bánh - Co sản, xã Ẳng Cang</t>
  </si>
  <si>
    <t>55</t>
  </si>
  <si>
    <t>Đường nội bản Tát Hẹ - Ẳng nưa (giai đoạn 2)</t>
  </si>
  <si>
    <t>1km</t>
  </si>
  <si>
    <t>56</t>
  </si>
  <si>
    <t>Làm mới cầu qua suối bản Lịch Nưa</t>
  </si>
  <si>
    <t>Kết cấu sắt, rộng 80cm</t>
  </si>
  <si>
    <t>57</t>
  </si>
  <si>
    <t>Đường nội bản Bánh, xã Ẳng Cang</t>
  </si>
  <si>
    <t>58</t>
  </si>
  <si>
    <t>Đường nội bản Hua Nguống, xã Ẳng Cang</t>
  </si>
  <si>
    <t>59</t>
  </si>
  <si>
    <t>Đường từ bản Xuân Ban sang bản Ngối, xã Ngối Cáy</t>
  </si>
  <si>
    <t>Ngầm tràn + 500m đường BT</t>
  </si>
  <si>
    <t>60</t>
  </si>
  <si>
    <t>Khu thể thao xã Ẳng Cang</t>
  </si>
  <si>
    <r>
      <t>7.000m</t>
    </r>
    <r>
      <rPr>
        <vertAlign val="superscript"/>
        <sz val="12"/>
        <color theme="1"/>
        <rFont val="Times New Roman"/>
        <family val="1"/>
      </rPr>
      <t>2</t>
    </r>
  </si>
  <si>
    <t>61</t>
  </si>
  <si>
    <t>Sửa chữa NSH Bản Co Sáng -Na Hán - Na Luông - Co Hắm, xã Ẳng Nưa</t>
  </si>
  <si>
    <t>62</t>
  </si>
  <si>
    <t>Đường nội đồng bản Sáng, xã Ẳng Cang</t>
  </si>
  <si>
    <t>63</t>
  </si>
  <si>
    <t>Sửa chữa, nâng cấp NSH bản Xuân Tre 1, 2 xã Búng Lao</t>
  </si>
  <si>
    <t>64</t>
  </si>
  <si>
    <t>Sửa chữa, nâng cấp NSH bản Lịch Nưa, xã Nặm Lịch</t>
  </si>
  <si>
    <t>65</t>
  </si>
  <si>
    <t>Sửa chữa, nâng cấp NSH bản Nặm Cứm, xã Ngối Cáy</t>
  </si>
  <si>
    <t>66</t>
  </si>
  <si>
    <t>Nhà Văn hóa bản Xuân Tre II - Búng Lao</t>
  </si>
  <si>
    <t>67</t>
  </si>
  <si>
    <t>Nhà văn hóa bản Hồng Sọt - Búng Lao</t>
  </si>
  <si>
    <t>68</t>
  </si>
  <si>
    <t>Nhà văn hóa bản Kéo Nánh - Búng Lao</t>
  </si>
  <si>
    <t>69</t>
  </si>
  <si>
    <t>Đường nội bản Pu Khớ, xã Ẳng Cang</t>
  </si>
  <si>
    <t>L=1.200m</t>
  </si>
  <si>
    <t>b)</t>
  </si>
  <si>
    <t>Các dự án đề nghị bổ sung</t>
  </si>
  <si>
    <t>Sửa chữa, nâng cấp nước sinh hoạt bản Pú Súa, xẫ Ẳng Cang</t>
  </si>
  <si>
    <t>Nâng cấp nước sinh hoạt bản Huổi Lỵ, xã Mường Lạn</t>
  </si>
  <si>
    <t>Đường nội bản Ít Nọi, xã Nặm Lịch</t>
  </si>
  <si>
    <t>Nhà văn hóa xã Mường Thín</t>
  </si>
  <si>
    <t>Đường từ bản Phiêng Pẻn - bản Co Củ xã Mùn Chung</t>
  </si>
  <si>
    <t>Xã Mùn Chung</t>
  </si>
  <si>
    <t>Nhà Ban giám hiệu và các công trình phụ trợ trường THCS Khong Hin</t>
  </si>
  <si>
    <t>Xã Mường Khong</t>
  </si>
  <si>
    <t>Nhà Ban giám hiệu và các công trình phụ trợ trường TH Nà Tòng</t>
  </si>
  <si>
    <t>Đường Háng Chua - Kể Cải</t>
  </si>
  <si>
    <t>Xã Ta Ma</t>
  </si>
  <si>
    <t>Nhà Ban giám hiệu và các công trình phụ trợ trường TH Rạng Đông</t>
  </si>
  <si>
    <t>Xã Rạng Đông</t>
  </si>
  <si>
    <t>Nhà Văn hóa xã Quài Tở</t>
  </si>
  <si>
    <t>Xã Quài Tở</t>
  </si>
  <si>
    <t>Nhà Ban giám hiệu và các công trình phụ trợ trường THCS Tênh Phông</t>
  </si>
  <si>
    <t>Xã Tênh Phông</t>
  </si>
  <si>
    <t>Nhà văn hóa bản Thín B xã Mường Thín</t>
  </si>
  <si>
    <t>2018-2019</t>
  </si>
  <si>
    <t>Đường BT nội bản Chứn xã Mường Thín</t>
  </si>
  <si>
    <t>Đường  giao thông từ bản Sáng đến bản Ten Cá xã Quài Cang</t>
  </si>
  <si>
    <t>Xã Quài Cang</t>
  </si>
  <si>
    <t>Nhà văn hóa xã Mường Khong</t>
  </si>
  <si>
    <t>xã Mường Khong</t>
  </si>
  <si>
    <t>Nhà văn hóa xã Nà Tòng</t>
  </si>
  <si>
    <t>Đường từ QL279 - bản Cộng</t>
  </si>
  <si>
    <t>Nhà văn hóa xã Chiềng Đông</t>
  </si>
  <si>
    <t>Đường BT nội bản bản Noong Luông</t>
  </si>
  <si>
    <t>Đường QL6 - bản Núm - bản Hốc</t>
  </si>
  <si>
    <t>Nhà văn hóa xã Quài Nưa</t>
  </si>
  <si>
    <t>Xã Quài Nưa</t>
  </si>
  <si>
    <t>BT mặt đường, Kè chắn đất đường từ QL279 đi bản Hới (địa phận bản Ban, bản Hới)</t>
  </si>
  <si>
    <t>Nhà văn hóa xã Quài Cang</t>
  </si>
  <si>
    <t>Nhà văn hóa xã Tênh Phông</t>
  </si>
  <si>
    <t>Đường QL279 - TT xã Pú Nhung</t>
  </si>
  <si>
    <t>Xã Quài Nưa và xã Pú Nhung</t>
  </si>
  <si>
    <t>Điểm trường mầm non, tiểu học bản Hát Lấu xã Pú Xi</t>
  </si>
  <si>
    <t>Nhà Ban giám hiệu và các công trình phụ trợ trường TH Phình Sáng</t>
  </si>
  <si>
    <t>Xã Phình Sáng</t>
  </si>
  <si>
    <t>Nhà Ban giám hiệu và các công trình phụ trợ trường MN An Bình</t>
  </si>
  <si>
    <t>Nhà văn hóa xã Pú Xi</t>
  </si>
  <si>
    <t>Điện SH khu dân cư + trường TH + trường MN Pa Cá</t>
  </si>
  <si>
    <t>Xã Nà Sáy</t>
  </si>
  <si>
    <t>Đường từ bản Nà Sáy 1 đến Pa Cá, xã Nà Sáy</t>
  </si>
  <si>
    <t>xã Nà Sáy</t>
  </si>
  <si>
    <t>Đường TT xã Pú Nhung - bản Phiêng Pi</t>
  </si>
  <si>
    <t>xã Pú Nhung</t>
  </si>
  <si>
    <t>Đường từ Km 5+ 75m (lối rẽ đi Thủy điện Long Tạo) đến bản Hua Mức 1, xã Pú Xi</t>
  </si>
  <si>
    <t>xã Pú Xi</t>
  </si>
  <si>
    <t>Đường vào bản Khúa Trá và bản Phiêng Hoa xã Phình Sáng</t>
  </si>
  <si>
    <t>xã Phình Sáng</t>
  </si>
  <si>
    <t>Nhà văn hoá xã Mường Mùn</t>
  </si>
  <si>
    <t>xã Mường Mùn</t>
  </si>
  <si>
    <t>Nhà văn hoá: Bản Huổi Lốt; bản Mường 1 + 2 + 3 (2 nhà)</t>
  </si>
  <si>
    <t>Nâng cấp đường từ TT xã Tênh Phông đến ngã ba Há Dùa (giai đoạn I)</t>
  </si>
  <si>
    <t>xã Tênh Phông</t>
  </si>
  <si>
    <t>Dự án đề nghị bổ sung</t>
  </si>
  <si>
    <t>Đường QL6 - bản Co Sản, xã Mùn Chung</t>
  </si>
  <si>
    <t>Đường từ ngã 3 (đội 3) lên trường THCS</t>
  </si>
  <si>
    <t>1,5 km</t>
  </si>
  <si>
    <t>2204/QĐ-UBND; 17/8/2016</t>
  </si>
  <si>
    <t>Đường nội thôn Pàng Nhang từ nhà ông Hải đến cuối bản Pàng Nhang</t>
  </si>
  <si>
    <t>848m</t>
  </si>
  <si>
    <t>2203/QĐ-UBND; 17/8/2016</t>
  </si>
  <si>
    <t>Đường nội thôn Phiêng Bung từ nhà ông Tùng trưởng thôn đến nhà ông Chu cuối bản</t>
  </si>
  <si>
    <t>2.5km</t>
  </si>
  <si>
    <t>Đường nội thôn Háng Trở 1 từ nhà ông Giàng A Cống đến nhà ông Sùng A Vừ</t>
  </si>
  <si>
    <t>3.8 km</t>
  </si>
  <si>
    <t>Đường Tư nhà ông Nhè thôn Sông Ún đến thôn Háng Tơ Mang 1,2</t>
  </si>
  <si>
    <t>3,5km</t>
  </si>
  <si>
    <t>Nhà Văn hóa đội 10, xã Mường Báng</t>
  </si>
  <si>
    <t>200m2</t>
  </si>
  <si>
    <t>Nhà Văn hóa Đội 6, xã Mường Báng</t>
  </si>
  <si>
    <t>Đường từ Ngã ba Co Kham vào thôn Háng Trở 2, xã Mường Báng</t>
  </si>
  <si>
    <t>0,8km</t>
  </si>
  <si>
    <t>Đường trục thôn từ trường tiểu học Sín Sủ 1 đến cuối bản Sín Sủ, xã Xá Nhè</t>
  </si>
  <si>
    <t>1,2km</t>
  </si>
  <si>
    <t>Nối tiếp từ trường Mầm non Bản Hẹ 1 đến ngã ba đường nhựa đi Tả Huổi Tráng</t>
  </si>
  <si>
    <t>Đập đầu mối số 2 thủy lợi Pàng Nhang, xã Xá Nhè</t>
  </si>
  <si>
    <t>18ha</t>
  </si>
  <si>
    <t>Đường nội thôn Pàng Dề B, xã Xá Nhè</t>
  </si>
  <si>
    <t>Đường từ Nhà ông Mùa A Làng đến sân thôn Văn hóa truyền thống của xã</t>
  </si>
  <si>
    <t>Đường từ quán ông Tủa thôn Sông A 2 lên nhà Ông Chinh thôn Sông A 1, xã Xá Nhè</t>
  </si>
  <si>
    <t>Đường nội bản từ nhà ông Hạng A Trầu đến nhà ông Sùng A Khu, xã Mường Đun</t>
  </si>
  <si>
    <t>3km</t>
  </si>
  <si>
    <t>Đường nội thôn bản Đun từ nhà ông Viên đến nhà ông Thín</t>
  </si>
  <si>
    <t xml:space="preserve">0,5 km </t>
  </si>
  <si>
    <t>Thủy nông nối Mương Mẹo - Thẳm Đán (Bản Kép), xã Mường Đun</t>
  </si>
  <si>
    <t>3ha</t>
  </si>
  <si>
    <t>Thủy lợi đầu nguồn Háng Chu - Nhà ông Hạng A Giao (Đề Tâu), xã Mường Đun</t>
  </si>
  <si>
    <t>Nhà Văn hóa bản Kép, xã Mường Đun</t>
  </si>
  <si>
    <t>Nhà Văn hóa Bản Loọng Phạ, xã Mường Đun</t>
  </si>
  <si>
    <t xml:space="preserve">Đường vào Trạm y tế, Trụ sở mới UBND xã Mường Đun  </t>
  </si>
  <si>
    <t>Thủy lợi Thôn Đề Chu, xã Tủa Thàng</t>
  </si>
  <si>
    <t>2309/QĐ-UBND ngày 26/8/2016</t>
  </si>
  <si>
    <t>Đường Giao thông từ ngã ba Làng Vùa 2 đi Làng Vùa 1</t>
  </si>
  <si>
    <t>Đường giao thông nội thôn Tủa Thàng</t>
  </si>
  <si>
    <t>Nhà văn hóa thôn Tủa Thàng</t>
  </si>
  <si>
    <t>Nhà Văn Hóa thôn Phi Giàng 2, xã Tủa Thàng</t>
  </si>
  <si>
    <t>Đường ngõ xóm từ nhà ông Cở đến nhà ông Sinh, xã Huổi Só</t>
  </si>
  <si>
    <t>Huổi Só</t>
  </si>
  <si>
    <t>Đường ngõ xóm từ nhà ông Cỏng đến nhà ông Cở, xã Huổi Só</t>
  </si>
  <si>
    <t>3.5km</t>
  </si>
  <si>
    <t>Nhà Văn hóa thôn Huổi Ca, xã Huổi Só</t>
  </si>
  <si>
    <t>Nhà Văn hóa thôn Tù Cha, xã Huổi Só</t>
  </si>
  <si>
    <t>Bê tông hóa đường nội thôn thôn 2 từ nhà ông Dánh đến nhà ông Lý A Bình</t>
  </si>
  <si>
    <t>350m</t>
  </si>
  <si>
    <t>Đường trục thôn từ ngã 3 huyện cũ đến thôn Đề Hái, xã Sính Phình</t>
  </si>
  <si>
    <t>2306/QĐ-UBND; 26/8/2016</t>
  </si>
  <si>
    <t>Đường trục thôn từ thôn Háng Sung 1 đến Háng Sung A, xã Tả Phìn</t>
  </si>
  <si>
    <t>2308/QĐ-UBND; 26/8/2016</t>
  </si>
  <si>
    <t>Đường trục thôn từ đường chính vào thôn Háng Sung 2, xã Tả Phìn</t>
  </si>
  <si>
    <t>Nhà Văn hóa thôn Háng Sung 1, xã Tả Phìn</t>
  </si>
  <si>
    <t>Nhà Văn hóa thôn Tà Dê, xã Tả Phìn</t>
  </si>
  <si>
    <t>200m3</t>
  </si>
  <si>
    <t>Đường nội thôn Khó Sầu đến Háng Sung 2, xã Tả Phìn</t>
  </si>
  <si>
    <t>Đường ngõ xóm thôn Đề Bâu, xã Trung Thu</t>
  </si>
  <si>
    <t>2307/QĐ-UBND; 26/8/2016</t>
  </si>
  <si>
    <t>Tuyến đường từ thôn Trung Thu - đến thôn Nhè Sua Háng, xã Trung Thu</t>
  </si>
  <si>
    <t>1,8km</t>
  </si>
  <si>
    <t>Đường trục thôn từ UBND xã đến cuối thôn 2, xã Lao Xả Phình</t>
  </si>
  <si>
    <t>1.5km</t>
  </si>
  <si>
    <t>Tuyến đường từ trung tâm xã đến thôn 1, xã Lao Xả Phình</t>
  </si>
  <si>
    <t>Đường trục thôn từ thôn Tà Chinh đến thôn Háng Sùa, xã Tả Sìn Thàng</t>
  </si>
  <si>
    <t>Đường trục thôn từ nhà ông Giàng A Chu đến nhà ông Thào A Chinh, xã Tả Sìn Thàng</t>
  </si>
  <si>
    <t>Thủy lợi Trung Màng Mủ, xã Tả Sìn Thàng</t>
  </si>
  <si>
    <t>16ha</t>
  </si>
  <si>
    <t>Nhà Văn hóa thôn Páo Tỉnh Làng 1, xã Tả Sìn Thàng</t>
  </si>
  <si>
    <t>Nhà Văn hóa thôn Làng Sảng 1, xã Tả Sìn Thàng</t>
  </si>
  <si>
    <t>Đường Khó Trỏ Tổng đến Ngã ba nhà ông Giàng A Thanh thôn Sín Chải, xã Sín Chải</t>
  </si>
  <si>
    <t>1,3km</t>
  </si>
  <si>
    <t>Đường trục thôn từ ngã ba Háng Là đến trung tâm xã, xã Sín Chải</t>
  </si>
  <si>
    <t>Đường trục thôn Lồng Sử Phình từ ngã 3 Cáng Chua 1 đến nhà trưởng thôn, xã Sín Chải</t>
  </si>
  <si>
    <t>Đường Nội thôn Chế Cu Nhe, xã Sín Chải</t>
  </si>
  <si>
    <t>Nhà Văn hóa thôn Trung Gầu Bua, xã Sín Chải</t>
  </si>
  <si>
    <t>Nhà Văn hóa thôn Háng Khúa, xã Sín Chải</t>
  </si>
  <si>
    <t>Tuyến đường từ Ngã ba C3 thôn Ta Pao đến Thôn 1, xã Sính Phình</t>
  </si>
  <si>
    <t>Nhà văn hóa thôn Háng Sung 2, xã Tả Phìn</t>
  </si>
  <si>
    <t>Thủy lợi Trung Tẩu Nhè, xã Tả Sìn Thàng</t>
  </si>
  <si>
    <t>Tuyến đường từ ngã 3 Páo Tỉnh Làng 2 đi Páo Tỉnh Làng 1, xã Tả Sìn Thàng</t>
  </si>
  <si>
    <t>900m</t>
  </si>
  <si>
    <t>Tuyến đường từ ngã 3 Sính Phình đi thôn Dê Giàng, xã Sính Phình</t>
  </si>
  <si>
    <t>2,5km</t>
  </si>
  <si>
    <t>Tuyến đường Tà Dung đi Chiếu Tính, xã Tả Phìn</t>
  </si>
  <si>
    <t>Huyện Điện Biên</t>
  </si>
  <si>
    <t>Các dự án khởi công mới năm 2016-2020</t>
  </si>
  <si>
    <t>Đường giao thông liên thôn, bản, đội 7, đội 8, đôi 9, đội CNII Xã Thanh Xương</t>
  </si>
  <si>
    <t>Xã Thanh Xương</t>
  </si>
  <si>
    <t>2016</t>
  </si>
  <si>
    <t>231/QĐ-UBND, 23/12/2016</t>
  </si>
  <si>
    <t xml:space="preserve"> Kênh thủy lợi đội 2,34,5,6,12,15,20a,20b xã Thanh Hưng (GĐ 2)</t>
  </si>
  <si>
    <t>Xã Thanh Hưng</t>
  </si>
  <si>
    <t>171/QĐ-UBND, 30/8/2016</t>
  </si>
  <si>
    <t>Đường giao thông liên thôn Đội 14, Chế Biến II xã Thanh Luông</t>
  </si>
  <si>
    <t>Xã  Thanh Luông</t>
  </si>
  <si>
    <t>96/QĐ-UBND, 28/10/2016</t>
  </si>
  <si>
    <t>Tuyến đường liên thôn, bản từ nhà Quý Nhuận đội 4a đến mương cấp 1 đội 5  xã Thanh Yên</t>
  </si>
  <si>
    <t>Xã Thanh Yên</t>
  </si>
  <si>
    <t>155/QĐ-UBND, 12/10/2016</t>
  </si>
  <si>
    <t>Kênh dẫn nước bản Na Ten - Pá Nậm xã Pom Lót</t>
  </si>
  <si>
    <t>Xã Pom Lót</t>
  </si>
  <si>
    <t>81/QĐ-UBND,  31/8/2016</t>
  </si>
  <si>
    <t>Kênh dẫn nước bản Na Có xã Pom Lót</t>
  </si>
  <si>
    <t>80/QĐ-UBND, 29/8/2016</t>
  </si>
  <si>
    <t>Đường giao thông liên thôn từ đường rẽ đi Điện Biên Đông vào  nhà ông Hoàng Văn Quỳnh và từ nhà văn hóa đội 10 Yên Cang lên nhà ông Đức ra đội rẽ đi đội 8 Yên Cang xã Sam Mứn</t>
  </si>
  <si>
    <t>Xã Sam Mứn</t>
  </si>
  <si>
    <t>136a/QĐ-UBND; 22/8/2016</t>
  </si>
  <si>
    <t>Đường liên thôn, bản Co Mận 1 xã Mường Phăng</t>
  </si>
  <si>
    <t>Mường Phăng</t>
  </si>
  <si>
    <t>2017</t>
  </si>
  <si>
    <t>Đường giao thông liên bản từ bản Na Lao đến bản Yên xã Sam Mứn</t>
  </si>
  <si>
    <t>Thủy lợi Na Co Nghịu bản Tâu xã Hua Thanh</t>
  </si>
  <si>
    <t>Hua Thanh</t>
  </si>
  <si>
    <t xml:space="preserve"> Sửa chữa, kênh cấp 1 và kênh mương nội đồng bản Ban xã Mường Nhà</t>
  </si>
  <si>
    <t>Mường Nhà</t>
  </si>
  <si>
    <t>Nâng cấp, sửa chữa đường giao thông từ trạm biên phòng cửa khẩu Huổi Puốc đi bản Noong É xã Mường Lói</t>
  </si>
  <si>
    <t xml:space="preserve"> Xã Mường Lói</t>
  </si>
  <si>
    <t>Nhà sinh hoạt cộng đồng bản Cò Chạy 2 xã Mường Pồn</t>
  </si>
  <si>
    <t>Xã Mường Pồn</t>
  </si>
  <si>
    <t>Xây dựng nước sinh hoạt bản Hua Thanh, xã Na Ư</t>
  </si>
  <si>
    <t>Xã Na Ư</t>
  </si>
  <si>
    <t>Đường giao thông nội bản Huổi Hộc xã Nà Nhạn</t>
  </si>
  <si>
    <t>Nà Nhạn</t>
  </si>
  <si>
    <t>Đường giao thông nội bản Pá Hẹ xã Hẹ Muông</t>
  </si>
  <si>
    <t>Hẹ Muông</t>
  </si>
  <si>
    <t>Đường giao thông bản Phiêng Ban xã Nà Tấu</t>
  </si>
  <si>
    <t xml:space="preserve"> Xã Nà Tấu</t>
  </si>
  <si>
    <t>Nhà Sinh hoạt cộng đồng bản Hợp Thành, Tân Ngam, Hát Hẹ, Pá Ngam 1 xã Núa Ngam</t>
  </si>
  <si>
    <t>Núa Ngam</t>
  </si>
  <si>
    <t>Trục đường giao thông nội bản đội 12 (thôn Minh Tân) xã Noong Luống</t>
  </si>
  <si>
    <t>Xã Noong Luống</t>
  </si>
  <si>
    <t>Kênh thủy lợi thôn 4,5,6 xã Pom Lót</t>
  </si>
  <si>
    <t>Đường giao thông nội bản Pa Thơm, Pa xá Lào xã Pa Thơm</t>
  </si>
  <si>
    <t>Xã Pa Thơm</t>
  </si>
  <si>
    <t>Đường bê tông nội bản Pa Kín 1 xã Na Tông</t>
  </si>
  <si>
    <t>Na Tông</t>
  </si>
  <si>
    <t>Đường trục thôn từ Quốc lộ 279 đến giáp bờ thành Hoàng Công Chất xã Noong Hẹt</t>
  </si>
  <si>
    <t>Xã Noong Hẹt</t>
  </si>
  <si>
    <t>Đường giao thông liên thôn, bản Nà Nọi 1, 2 xã Nà Nhạn</t>
  </si>
  <si>
    <t xml:space="preserve"> Xã Nà Nhạn</t>
  </si>
  <si>
    <t>Nâng cấp, sửa chữa công trình nước sinh hoạt bản Noong É xã Mường Lói</t>
  </si>
  <si>
    <t>Xã Mường Lói</t>
  </si>
  <si>
    <t>Thủy lợi Na Dên, xã Mường Pồn</t>
  </si>
  <si>
    <t>Đường giao thông nội bản Nậm Hẹ 1 xã Hẹ Muông</t>
  </si>
  <si>
    <t>Xã Hẹ Muông</t>
  </si>
  <si>
    <t>Đường giao thông nội bản Na Hươm xã Na Tông</t>
  </si>
  <si>
    <t xml:space="preserve"> Xã Na Tông</t>
  </si>
  <si>
    <t xml:space="preserve"> Đường vào bản co sáng xã Nà Tấu</t>
  </si>
  <si>
    <t>Xây dựng nhà văn hóa bản Tin Lán xã Núa Ngam</t>
  </si>
  <si>
    <t>Xã Núa Ngam</t>
  </si>
  <si>
    <t>Nâng cấp tuyến đường bản Phì Cao xã Mường Nhà</t>
  </si>
  <si>
    <t>Xã Mường Nhà</t>
  </si>
  <si>
    <t>Kênh thủy lợi Huổi Lang, bản Huổi Cảnh xã Phu Luông</t>
  </si>
  <si>
    <t>Xã Phu Luông</t>
  </si>
  <si>
    <t>Nâng cấp thủy lợi từ đầu mối đến bản Pa Xa Xá xã Pa Thơm</t>
  </si>
  <si>
    <t xml:space="preserve"> Xã Pa Thơm</t>
  </si>
  <si>
    <t>Đường giao thông  Đội 11 xã Thanh Xương</t>
  </si>
  <si>
    <t>Nâng cấp đường giao thông nội đồng các đội xã Thanh Luông</t>
  </si>
  <si>
    <t>Nhà văn hóa bản Hong Hin, Bản Hua Pe  xã Thanh Luông</t>
  </si>
  <si>
    <t>Đường trục, ngõ xóm đội 7+14, xã Thanh Hưng, huyện Điện Biên</t>
  </si>
  <si>
    <t>Thủy lợi Co Chạy 1, xã Mường Pồn</t>
  </si>
  <si>
    <t>Nhà đa năng xã Thanh Yên</t>
  </si>
  <si>
    <t xml:space="preserve"> Đường BT đoạn từ đội 2 nhà ông Sơn đến nhà bà Gióng đội 1 xã Noong Hẹt</t>
  </si>
  <si>
    <t>Đường giao thông từ trục chính xã đến trường trung học cơ sở thôn Đông Biên 3 xã Thanh An</t>
  </si>
  <si>
    <t>Xã Thanh An</t>
  </si>
  <si>
    <t xml:space="preserve"> Đường giao thông bản Lọng Quân xã Sam Mứn</t>
  </si>
  <si>
    <t>Nhà văn hóa bản Lọng Bon, thôn 4a, 4b xã Sam Mứn</t>
  </si>
  <si>
    <t>Đường dân sinh bản Na Thìn xã Pom Lót</t>
  </si>
  <si>
    <t>Nâng cấp tuyến đường bản Na Phay xã Mường Nhà</t>
  </si>
  <si>
    <t>Mở rộng nền đường từ đồn Biên Phòng Huổi Puốc đi bản Co Đứa</t>
  </si>
  <si>
    <t>Phai bản Co Luống xã Mường Phăng</t>
  </si>
  <si>
    <t>Xã Mường Phăng</t>
  </si>
  <si>
    <t>Thủy lợi Nà Phát, Nà Họi, bản Tâu xã Hua Thanh</t>
  </si>
  <si>
    <t>Xã Hua Thanh</t>
  </si>
  <si>
    <t>Đường giao thông liên thôn đội 18 xã Noong Luống</t>
  </si>
  <si>
    <t>Đường giao thông liên bản đội 11 xã Thanh Nưa</t>
  </si>
  <si>
    <t>Xã Thanh Nưa</t>
  </si>
  <si>
    <t>Sân vận động xã Núa Ngam</t>
  </si>
  <si>
    <t>Đường giao thông nội bản Lán Yên xã Nà Tấu</t>
  </si>
  <si>
    <t>Thủy lợi Na Phát bản Xôm xã Pá Khoang</t>
  </si>
  <si>
    <t>Xã Pá Khoang</t>
  </si>
  <si>
    <t xml:space="preserve"> Tuyến đường bản Co Đíu xã Mường Phăng  (Thay thế danh mục: Phai na phát động ( Bản khá + Tân Bình) xã Mường Phăng</t>
  </si>
  <si>
    <t>Đường giao thông bản Na Tông 2 xã Na Tông</t>
  </si>
  <si>
    <t>Đường bê tông hóa liên bản Na Há 1, Na Há 2 xã Pu Luông</t>
  </si>
  <si>
    <t>Đường giao thông ngõ xóm bản Na Ư xã Na Ư</t>
  </si>
  <si>
    <t>Đường giao thông nội bản Lọong Sọt xã Hẹ Muông</t>
  </si>
  <si>
    <t>Đường giao thông nội thôn đội 5, đội 15 xã Thanh Xương</t>
  </si>
  <si>
    <t>Đường liên thôn, bản Bản Chiềng An , thôn Đồi Cao, Hồng Khoong 1, 2; Bản Noong Ứng, bản Mới xã Thanh An</t>
  </si>
  <si>
    <t>Nâng cấp đập Co Sản bản Lếch cang xã Thanh Chăn</t>
  </si>
  <si>
    <t>Xã Thanh Chăn</t>
  </si>
  <si>
    <t>Đường vào bản Nghịu 1 + 2 xã Pá Khoang</t>
  </si>
  <si>
    <t>Nhà sinh hoạt cộng đồng bản Mường Pồn 1 xã Mường Pồn</t>
  </si>
  <si>
    <t>Nhà sinh hoạt cộng đồng bản Lĩnh 1+2 xã Mường Pồn</t>
  </si>
  <si>
    <t>Nhà sinh hoạt cộng đồng bản Mường Pồn 2 xã Mường Pồn</t>
  </si>
  <si>
    <t>Đường nội bản Xa Cuông xã Pa Thơm</t>
  </si>
  <si>
    <t>Đường giao thông nông thôn - Tuyến 1 từ nhà ông Võ thôn Duyên Long đến nhà ông Cấn thôn Púng Khẩu - Tuyến 2 từ nhà ông Tiến đến nhà ông Thơ thôn Púng Khẩu xã Noong Hẹt</t>
  </si>
  <si>
    <t>Nối tiếp công trình tuyến đường liên thôn đội 4-đội 5 xã Thanh Yên, (Từ nhà ruộng nhà ông Đinh Văn Thìn đội 4a đến đường trục xã thuộc đội 4a)</t>
  </si>
  <si>
    <t>Kênh thủy lợi bản Na Đốm, Co Ké xã Thanh Nưa</t>
  </si>
  <si>
    <t>70</t>
  </si>
  <si>
    <t>Đường giao thông  Đội 13 xã Thanh Xương</t>
  </si>
  <si>
    <t>71</t>
  </si>
  <si>
    <t>Đường trục, ngõ xóm đội 9+10+18, xã Thanh Hưng, huyện Điện Biên</t>
  </si>
  <si>
    <t>72</t>
  </si>
  <si>
    <t>Phai Na Ten Mường Pồn 1, xã Mường Pồn</t>
  </si>
  <si>
    <t>73</t>
  </si>
  <si>
    <t>Đường BT đoạn từ cầu Phát Cút đến đường vành đai phía đông xã Noong Hẹt</t>
  </si>
  <si>
    <t>74</t>
  </si>
  <si>
    <t>Đường giao thông bản Huổi Púng xã Thanh An</t>
  </si>
  <si>
    <t>75</t>
  </si>
  <si>
    <t xml:space="preserve">Đường liên thôn Pom Mỏ Thái - Na Khưa  xã Thanh Chăn </t>
  </si>
  <si>
    <t>76</t>
  </si>
  <si>
    <t>Đường giao thông bản Tâu xã Hua Thanh</t>
  </si>
  <si>
    <t>77</t>
  </si>
  <si>
    <t>Đường giao thông bản Ban, bản Lọng Dốm, Chiềng Xôm xã Sam Mứn</t>
  </si>
  <si>
    <t>78</t>
  </si>
  <si>
    <t>Nhà văn hóa bản Yên, Đon Đứa, Yên Cang 2, Lọng Quân, Na Lao xã Sam Mứn</t>
  </si>
  <si>
    <t>79</t>
  </si>
  <si>
    <t>Kênh mương khu trung tâm xã, bản Na Có, bản Pá Nậm xã Pom Lót</t>
  </si>
  <si>
    <t>80</t>
  </si>
  <si>
    <t>Nâng cấp tuyến đường từ hồ lên bản Phì cao xã Mường Nhà</t>
  </si>
  <si>
    <t>81</t>
  </si>
  <si>
    <t>Đường giao thông liên thôn đội 19 xã Noong Luống</t>
  </si>
  <si>
    <t>82</t>
  </si>
  <si>
    <t>Xây dựng nhà văn hóa bản Huổi Hua xã Núa Ngam</t>
  </si>
  <si>
    <t>83</t>
  </si>
  <si>
    <t>Thủy lợi Na Ten Bản Xôm xã Nà Tấu</t>
  </si>
  <si>
    <t>Xã Nà Tấu</t>
  </si>
  <si>
    <t>84</t>
  </si>
  <si>
    <t>Tuyến đường bản Lọng Háy xã Mường Phăng (Thay thế danh mục: Đường thôn bản Yên 3 xã Mường Phăng)</t>
  </si>
  <si>
    <t>85</t>
  </si>
  <si>
    <t>Đường giao thông bản Sơn Tống xã Na Tông</t>
  </si>
  <si>
    <t>Xã Na Tông</t>
  </si>
  <si>
    <t>86</t>
  </si>
  <si>
    <t>Đường giao thông nội bản Kham Pọm xã Phu Luông</t>
  </si>
  <si>
    <t>87</t>
  </si>
  <si>
    <t>Đường bê tông bản Pa Xa Xá đi trung tâm xã Pa Thơm</t>
  </si>
  <si>
    <t>88</t>
  </si>
  <si>
    <t>Nước sinh hoạt bản Ca Hau xã Na Ư</t>
  </si>
  <si>
    <t>89</t>
  </si>
  <si>
    <t>Đường giao thông bản Na Dôn xã Hẹ Muông</t>
  </si>
  <si>
    <t>90</t>
  </si>
  <si>
    <t xml:space="preserve"> Kiên cố hóa kênh cấp 3 đội C9B xã Thanh Xương</t>
  </si>
  <si>
    <t>91</t>
  </si>
  <si>
    <t>Đường trục bản Na Khếnh đội 16, đường trục ngõ xóm đội 13, xã Thanh Hưng</t>
  </si>
  <si>
    <t>92</t>
  </si>
  <si>
    <t xml:space="preserve"> Kiên cố hóa kênh cấp 3 đội 4, đội 16 xã Thanh Yên </t>
  </si>
  <si>
    <t>93</t>
  </si>
  <si>
    <t>Kiên cố hóa kênh cấp III từ Thủy Điện ông hiệp đội 11- đội 12 co Mỵ xã Thanh Chăn</t>
  </si>
  <si>
    <t>94</t>
  </si>
  <si>
    <t>Thủy lợi bản Co Puc xã Hua Thanh</t>
  </si>
  <si>
    <t>95</t>
  </si>
  <si>
    <t>Thủy lợi Na sản bản Xôm xã Pá Khoang</t>
  </si>
  <si>
    <t>96</t>
  </si>
  <si>
    <t>Thủy lợi bản Ta Lét 1+2, bản Nọong Sọt xã Hẹ Muông</t>
  </si>
  <si>
    <t>97</t>
  </si>
  <si>
    <t>Đường bê tông hóa liên bản Xẻ 1, bản Xẻ 2 xã Phu Luông</t>
  </si>
  <si>
    <t>98</t>
  </si>
  <si>
    <t>Đường trục thôn từ nhà ông Cần đội 4 đến nhà ông Ky đội 8 và từ nhà ông Hiền đội 8 đến nhà ông Kệ đội 9 xã Noong Hẹt</t>
  </si>
  <si>
    <t>99</t>
  </si>
  <si>
    <t>Đường giao thông liên thôn bản Lún xã Noong Luống</t>
  </si>
  <si>
    <t>100</t>
  </si>
  <si>
    <t>Đường giao thông liên thôn đội 12 xã Noong Luống</t>
  </si>
  <si>
    <t>101</t>
  </si>
  <si>
    <t>Đường dân sinh bản Na Có xã Pom Lót</t>
  </si>
  <si>
    <t>102</t>
  </si>
  <si>
    <t xml:space="preserve"> Đường giao thông bản Yên Cang 1, Yên Bình, Cang 1, Cang 2 xã Sam Mứn</t>
  </si>
  <si>
    <t>103</t>
  </si>
  <si>
    <t>Nâng cấp, sửa chữa thủy lợi bản Xa Cuông xã Pa Thơm</t>
  </si>
  <si>
    <t>104</t>
  </si>
  <si>
    <t xml:space="preserve"> Kênh thủy lợi Na Un xã Mường Pồn</t>
  </si>
  <si>
    <t>105</t>
  </si>
  <si>
    <t>Đường giao thông liên thôn từ quán nhà ông Hặc đến cổng nhà ông Ánh Xuân xã Thanh An</t>
  </si>
  <si>
    <t>106</t>
  </si>
  <si>
    <t>Đường giao thông liên thôn từ Từ ngã ba trường Tiểu học Púng Thanh đến ngã ba nhà ông Hơn  xã Thanh An</t>
  </si>
  <si>
    <t>107</t>
  </si>
  <si>
    <t>Đường giao thông liên bản từ Pá Heo đến nhà ông Yến bản Nà Luống 3 xã Nà Tấu</t>
  </si>
  <si>
    <t>108</t>
  </si>
  <si>
    <t>Xây dựng Đập phai ông Liến Co Thón xã Pá Khoang</t>
  </si>
  <si>
    <t>109</t>
  </si>
  <si>
    <t>Xây dựng nhà văn hóa bản Pá Bông xã Núa Ngam</t>
  </si>
  <si>
    <t>110</t>
  </si>
  <si>
    <t>Đường giao thông  Đội 10 xã Thanh Xương</t>
  </si>
  <si>
    <t>111</t>
  </si>
  <si>
    <t>Đường giao thông liên thôn, bản Tẩu Pung 1 xã Nà Nhạn</t>
  </si>
  <si>
    <t>112</t>
  </si>
  <si>
    <t>Đường giao thông nội bản Hồng Khoong 1, 2 xã Thanh An</t>
  </si>
  <si>
    <t>113</t>
  </si>
  <si>
    <t>Xây dựng cầu qua mương đội 10A xã Thanh Chăn</t>
  </si>
  <si>
    <t>114</t>
  </si>
  <si>
    <t>Thủy lợi Hoa Bang, bản Hua Rốm xã Nà Tấu</t>
  </si>
  <si>
    <t>115</t>
  </si>
  <si>
    <t>Đường giao thông ngõ xóm, đội 10a, 10b, 8a, 8c, 3a,  xã Thanh Luông</t>
  </si>
  <si>
    <t>116</t>
  </si>
  <si>
    <t>Đường trục, ngõ sóm đội 8+11 xã Thanh Hưng, huyện Điện Biên</t>
  </si>
  <si>
    <t>117</t>
  </si>
  <si>
    <t>Nhà sinh hoạt cộng đồng đội 19 xã Thanh Hưng</t>
  </si>
  <si>
    <t>118</t>
  </si>
  <si>
    <t>Nâng cấp mương bê tông hóa các đội 5, 6, 14, 8 xã Thanh Luông</t>
  </si>
  <si>
    <t>Xã Thanh Luông</t>
  </si>
  <si>
    <t>119</t>
  </si>
  <si>
    <t>Làm nhà văn hóa đội 18 xã Thanh Nưa</t>
  </si>
  <si>
    <t>120</t>
  </si>
  <si>
    <t>Đường giao thông liên bản đội 14 xã Thanh Nưa</t>
  </si>
  <si>
    <t>121</t>
  </si>
  <si>
    <t>Đường giao thông liên thôn, bản Nà Ngám 3, 4 xã Nà Nhạn</t>
  </si>
  <si>
    <t>Xã Nà Nhạn</t>
  </si>
  <si>
    <t>122</t>
  </si>
  <si>
    <t>Nâng cấp đường giao thông đội 13a, 10a, 10b xã Thanh Luông</t>
  </si>
  <si>
    <t>123</t>
  </si>
  <si>
    <t xml:space="preserve"> Nhà văn hóa bản Lọng Toáng, bản Lé xã Thanh Luông</t>
  </si>
  <si>
    <t>124</t>
  </si>
  <si>
    <t>Xây dựng nhà văn hóa Phú Ngam xã Núa Ngam</t>
  </si>
  <si>
    <t>125</t>
  </si>
  <si>
    <t>Xây dựng nhà văn hóa bản Pá Ngam 2 xã Núa Ngam</t>
  </si>
  <si>
    <t>126</t>
  </si>
  <si>
    <t xml:space="preserve">Phai Huổi Đậc bản Hả 1 + 2 xã Pá Khoang </t>
  </si>
  <si>
    <t>127</t>
  </si>
  <si>
    <t>Đường giao thông từ Quốc lộ 279 đến thôn Hoàng Công Chất xã Thanh An</t>
  </si>
  <si>
    <t>128</t>
  </si>
  <si>
    <t>Tuyến đường liên thôn, bản từ đường vành đai phía đông đếnh nhà ông Hạnh bản Sáng 2 xã Thanh An</t>
  </si>
  <si>
    <t>129</t>
  </si>
  <si>
    <t>Kênh thủy lợi Pom Bả xã Thanh Nưa</t>
  </si>
  <si>
    <t>130</t>
  </si>
  <si>
    <t>Đường từ Thôn Na Mem (đội 7) đến Thôn Lún A (đội 9a) xã Noong Luống</t>
  </si>
  <si>
    <t>131</t>
  </si>
  <si>
    <t>Nhà văn hóa xã Thanh Hưng</t>
  </si>
  <si>
    <t>132</t>
  </si>
  <si>
    <t>Kiên cố hóa kênh đội 14 xã Thanh Luông</t>
  </si>
  <si>
    <t>133</t>
  </si>
  <si>
    <t>Nhà Văn Hóa  đội 4,đội 10 xã Thanh Luông</t>
  </si>
  <si>
    <t>134</t>
  </si>
  <si>
    <t>Kiên cố hóa kênh từ đầu bản nghịu xuống C1 xã Thanh Luông</t>
  </si>
  <si>
    <t>135</t>
  </si>
  <si>
    <t>Nâng cấp đường từ ngã ba nhà bà Phượng đi qua bản bánh đến C1 xã Thanh Luông</t>
  </si>
  <si>
    <t>136</t>
  </si>
  <si>
    <t>Nâng cấp đường giao thông đội 13a xã Thanh Luông</t>
  </si>
  <si>
    <t>137</t>
  </si>
  <si>
    <t>Nâng cấp kênh bản Giảng, Co Ké xã Thanh Nưa</t>
  </si>
  <si>
    <t>138</t>
  </si>
  <si>
    <t>Đường giao thông đội 22 xã Thanh Nưa</t>
  </si>
  <si>
    <t>139</t>
  </si>
  <si>
    <t>Đường giao nội đồng xã Thanh Nưa</t>
  </si>
  <si>
    <t>140</t>
  </si>
  <si>
    <t>Kè đường giao thông đội 25 xã Thanh Nưa</t>
  </si>
  <si>
    <t>141</t>
  </si>
  <si>
    <t>Đường giao thông đội 26 xã Thanh Nưa</t>
  </si>
  <si>
    <t>142</t>
  </si>
  <si>
    <t>Đường giao thông liên bản Nà Ngám 2  Huổi Hộc, xã Nà Nhạn</t>
  </si>
  <si>
    <t>143</t>
  </si>
  <si>
    <t>Tuyến đường nối tiếp ngã tư bản Mới Noong Ứng đến cổng nhà ông Phóng bản Noong Ứng xã Thanh An</t>
  </si>
  <si>
    <t>144</t>
  </si>
  <si>
    <t>Tuyến đường liên thôn từ đường Quốc lộ 279 đến cầu ông So bản Noong Ứng 1, 2 xã Thanh An</t>
  </si>
  <si>
    <t>145</t>
  </si>
  <si>
    <t>Tuyến đường từ ngã tư bản Chiềng Chung đến cổng vào nhà ông La Thôn Đông Biên 3 xã Thanh An</t>
  </si>
  <si>
    <t>146</t>
  </si>
  <si>
    <t>Tuyến đường từ nhà ông Thắng đến nhà ông Hặc (Khiên) xã Thanh An</t>
  </si>
  <si>
    <t>147</t>
  </si>
  <si>
    <t>Đường giao thông nội các bản (Na Sang 1, Pá Bông, Hợp Thành, Pá Ngam 1, Pá Ngam 2) xã Núa Ngam</t>
  </si>
  <si>
    <t>148</t>
  </si>
  <si>
    <t>Xây dựng cầu, đường giao thông bản Xôm 3 xã Pá Khoang</t>
  </si>
  <si>
    <t>149</t>
  </si>
  <si>
    <t xml:space="preserve"> Mở rộng nền đường nối tiếp từ đồn biên phòng cửa khẩu Huổi Puốc Km 04 đến Km 17 đi bản Huổi Không - Co Đứa xã Mường Lói</t>
  </si>
  <si>
    <t>Đường giao thông thôn đội 6, đội 15 xã Thanh Luông</t>
  </si>
  <si>
    <t>Đường giao thông liên thôn đội 12, đội 13 xã Noong Hẹt</t>
  </si>
  <si>
    <t>Nâng cấp, sửa chữa thủy lợi bản Pa Xa Lào xã Pa Thơm</t>
  </si>
  <si>
    <t>Đường giao thông nông thôn từ đường vành đai phía đông đến kênh đại thủy nông, xã Noong Hẹt</t>
  </si>
  <si>
    <t>Nâng cấp, sửa chữa thủy lợi bản Pa Thơm xã Pa Thơm</t>
  </si>
  <si>
    <t>Mương bản Pe Luông từ nhà ông Pản đến ruộng ông Phanh Pỉa xã Thanh Luông</t>
  </si>
  <si>
    <t>Kênh đội 23 bản Tông Khao xã Thanh Nưa</t>
  </si>
  <si>
    <t>Đường bê tông 03 nhánh thôn Trại Giống xã Thanh An</t>
  </si>
  <si>
    <t>Đường nội đồng bản Na Sang 2 xã Núa Ngam</t>
  </si>
  <si>
    <t>Đường giao thông nội bản Ta Lét 1 và Ta Lét 2 xã Hẹ Muông</t>
  </si>
  <si>
    <t>Huyện Điện Biên Đông</t>
  </si>
  <si>
    <t>Khởi công mới GĐ 2016-2020</t>
  </si>
  <si>
    <t>Đường Chua Ta B Chua Ta A xã Tìa Dình</t>
  </si>
  <si>
    <t>Số 24a, ngày 
14/3/2016</t>
  </si>
  <si>
    <t>Bê tông hóa cuối tuyến đường Phì Nhừ - Chiềng Sơ xã Chiềng Sơ</t>
  </si>
  <si>
    <t>Số 18, ngày 
15/3/2016</t>
  </si>
  <si>
    <t>NSH bản Pá Nậm B xã Chiềng Sơ</t>
  </si>
  <si>
    <t>Số 859c, ngày 
31/3/2016</t>
  </si>
  <si>
    <t>Nước sinh hoạt bản Nậm Ma xã Pú Hồng</t>
  </si>
  <si>
    <t>Xã Pú Hồng</t>
  </si>
  <si>
    <t>Số 2641, ngày 
02/11/2016</t>
  </si>
  <si>
    <t>Nước sinh hoạt bản Phiêng Muông A xã Pú Hồng</t>
  </si>
  <si>
    <t>Nâng cấp thủy lợi Sư Lư xã Na Son</t>
  </si>
  <si>
    <t>Xã Na Son</t>
  </si>
  <si>
    <t>Số 58a, ngày 31/10/2016</t>
  </si>
  <si>
    <t>Đường nội đồng bản Chua Ta A xã Tìa Dình</t>
  </si>
  <si>
    <t>Số 2596, ngày 31/10/2016</t>
  </si>
  <si>
    <t>Đường Co Kham đi Huổi Xiêm, xã Mường Luân</t>
  </si>
  <si>
    <t>Số 58, ngày 31/10/2016</t>
  </si>
  <si>
    <t>Đường giao thông từ bản Che Phai đến bản Na Ngua xã Luân Giói</t>
  </si>
  <si>
    <t>Số 2597, ngày 31/10/2016</t>
  </si>
  <si>
    <t xml:space="preserve">Nhà văn hóa xã + trang thiết bị </t>
  </si>
  <si>
    <t>Số 89e, ngày 30/10/2017</t>
  </si>
  <si>
    <t>Sân vận động xã Mường Luân</t>
  </si>
  <si>
    <t>Số 90e, ngày 30/10/2017</t>
  </si>
  <si>
    <t>Xây dựng khu thu gom xử lý rác thải</t>
  </si>
  <si>
    <t>Đường giao thông nội bản Pá Pao 1</t>
  </si>
  <si>
    <t>2 km</t>
  </si>
  <si>
    <t>Số 92e, ngày 30/10/2017</t>
  </si>
  <si>
    <t>Đường giao thông nội bản Mường Luân 2</t>
  </si>
  <si>
    <t>0,7 km</t>
  </si>
  <si>
    <t>Số 93e, ngày 30/10/2017</t>
  </si>
  <si>
    <t>Nhà văn hóa bản + trang thiết bị (18 bản x 580 triệu/nhà)</t>
  </si>
  <si>
    <t xml:space="preserve"> - Nhà văn hóa bản + trang thiết bị (12 bản x 580 triệu/nhà)</t>
  </si>
  <si>
    <t>Số  2068h  , ngày 30/10/2017</t>
  </si>
  <si>
    <t xml:space="preserve"> - Nhà văn hóa bản + trang thiết bị (6 bản x 580 triệu/nhà)</t>
  </si>
  <si>
    <t>Sân thể thao bản bản xã Mường Luân (18 bản x 150 triệu/sân)</t>
  </si>
  <si>
    <t>Đường giao thông nội bản Pá Vạt 1</t>
  </si>
  <si>
    <t>0,3 km</t>
  </si>
  <si>
    <t>Cầu treo Mường Luân 2 xã Mường Luân</t>
  </si>
  <si>
    <t>Đường từ ngã ba Háng Lìa - Tìa Dình đến bản Tào La A, Tào La B xã Tìa Dình</t>
  </si>
  <si>
    <t>Nâng cấp đường giao bản Xi Cơ xã Keo Lôm</t>
  </si>
  <si>
    <t>Bê tông hóa tuyến đường bản Tìa Ghếnh xã Tìa Dình</t>
  </si>
  <si>
    <t>Thủy lợi Nà Nếnh C xã Pú Hồng</t>
  </si>
  <si>
    <t>Thủy lợi Huổi Xa 1 xã Keo Lôm</t>
  </si>
  <si>
    <t>Đường Điện bản Chua Ta B xã Tìa Dình</t>
  </si>
  <si>
    <t>Xây dựng sân vận động xã Pu Nhi</t>
  </si>
  <si>
    <t>Xã Pu Nhi</t>
  </si>
  <si>
    <t>Điện sinh hoạt điểm Xá Tự xã Phình Giàng</t>
  </si>
  <si>
    <t>Xã Phình Giàng</t>
  </si>
  <si>
    <t>Thủy lợi Na Tọ bản Na Sản 1</t>
  </si>
  <si>
    <t>Cầu treo bản Pá Pao 1</t>
  </si>
  <si>
    <t>Thủy lợi Na Khính - Na Ỏ bản Na Hát</t>
  </si>
  <si>
    <t>Thủy lợi Na Pá Vông bản Mường Luân 1</t>
  </si>
  <si>
    <t>Thủy lợi Na Co Đứa bản Mường Luân</t>
  </si>
  <si>
    <t>Đường bê tông bản Pá Nậm A</t>
  </si>
  <si>
    <t>Đường nội bản Giói B xã Luân Giói</t>
  </si>
  <si>
    <t>Thủy lợi Chua Ta B xã Tìa Dình</t>
  </si>
  <si>
    <t>Thủy lợi Háng Pù Xi xã Phì nhừ</t>
  </si>
  <si>
    <t>Thủy lợi suối Pha Vang xã Pu Nhi</t>
  </si>
  <si>
    <t>Nước sinh hoạt bản Háng Lìa B xã Háng Lìa</t>
  </si>
  <si>
    <t>2019 - 2020</t>
  </si>
  <si>
    <t>Nước sinh hoạt bản Từ Xa xã Phì Nhừ</t>
  </si>
  <si>
    <t>Đường giao thông bản Tìa Mùng đi Huổi Va B xã Háng Lìa</t>
  </si>
  <si>
    <t>Đường bê tông bản Huổi Tao B xã Pú Nhi</t>
  </si>
  <si>
    <t>Nhà văn hóa xã Nong U</t>
  </si>
  <si>
    <t>Xã Nong U</t>
  </si>
  <si>
    <t>Nâng cấp đường giao thông liên bản từ bản Giói B đi Phiêng Kên (giai doạn II) xã Luân Giói</t>
  </si>
  <si>
    <t>2,5 km</t>
  </si>
  <si>
    <t>Đường điện bản Háng Giống xã Pu Nhi</t>
  </si>
  <si>
    <t>66 hộ</t>
  </si>
  <si>
    <t>Thủy lợi Huổi Va B1 xã Háng Lìa</t>
  </si>
  <si>
    <t>Đường Na Ten đi Na Sản, xã Mường Luân</t>
  </si>
  <si>
    <t>1 km</t>
  </si>
  <si>
    <t>Thủy lợi Từ Xa xã Keo Lôm</t>
  </si>
  <si>
    <t>xã Keo Lôm</t>
  </si>
  <si>
    <t>Đường giao thông nội bản Na Pục</t>
  </si>
  <si>
    <t>0,5 km</t>
  </si>
  <si>
    <t>Đường giao thông nội bản Na Hát</t>
  </si>
  <si>
    <t>0,2 km</t>
  </si>
  <si>
    <t>Đường giao thông nội bản Co Kham</t>
  </si>
  <si>
    <t>0,55 km</t>
  </si>
  <si>
    <t>Đường giao thông nội bản Trung tâm</t>
  </si>
  <si>
    <t>0,15 km</t>
  </si>
  <si>
    <t>Giảm 400 triệu vốn TPCP</t>
  </si>
  <si>
    <t>Dự án KCM giai đoạn 2016-2020</t>
  </si>
  <si>
    <t>Đường BT ngõ, xóm bản Cứu Táng xã Nậm Nèn</t>
  </si>
  <si>
    <t>Giảm 630 triệu vốn TPCP</t>
  </si>
  <si>
    <t>Đường BT từ bản Chiêu Ly - bản Thèn Pả xã Sa Lông</t>
  </si>
  <si>
    <t>Giảm 1.200 triệu vốn TPCP</t>
  </si>
  <si>
    <t>Đường BT ngõ, xóm bản Chiêu Ly xã Sa Lông</t>
  </si>
  <si>
    <t>Giảm 1.000 triệu vốn TPCP</t>
  </si>
  <si>
    <t>Đường BT bản Pú Múa - bản Huổi Kết Tinh xã Mường Mươn (giai đoạn 1) - Lồng ghép vốn 160</t>
  </si>
  <si>
    <t>Giảm 1.425 triệu vốn TPCP</t>
  </si>
  <si>
    <t>Đường BT ngõ, xóm cụm 1 bản Huổi Loóng xã Na Sang</t>
  </si>
  <si>
    <t>Giảm 880 triệu vốn TPCP</t>
  </si>
  <si>
    <t>Đường BT ngõ, xóm bản Phi 2 xã Sá Tổng</t>
  </si>
  <si>
    <t>Giảm 1.115 triệu vốn TPCP</t>
  </si>
  <si>
    <t>Đường BT bản Hát Tre B xã Hừa Ngài</t>
  </si>
  <si>
    <t>Giảm 900 triệu vốn TPCP</t>
  </si>
  <si>
    <t>Đường BT trục thôn, xóm bản Huổi Quang 1 xã Ma Thì Hồ</t>
  </si>
  <si>
    <t>Đường BT ngõ, xóm bản Nậm Cút xã Nậm Nèn</t>
  </si>
  <si>
    <t>Đường BT ngõ, xóm bản Ca Dính Nhè xã Huổi Lèng</t>
  </si>
  <si>
    <t>Đường BT ngõ, xóm cụm 1 bản Huổi Xuân xã Na Sang</t>
  </si>
  <si>
    <t>Đường BT ngõ, xóm cụm 2 bản Huổi Loóng xã Na Sang</t>
  </si>
  <si>
    <t>Đường BT ngõ, xóm bản Huổi Mí 2 xã Huổi Mí</t>
  </si>
  <si>
    <t>Đường BT ngõ, xóm bản Sá Tổng xã Sá Tổng</t>
  </si>
  <si>
    <t>Đường BT ngõ, xóm bản Huổi Chua xã Ma Thì Hồ</t>
  </si>
  <si>
    <t>Sửa chữa tuyến kênh bản San Sả Hồ, xã Hừa Ngài</t>
  </si>
  <si>
    <t>Nhà văn hóa bản Pa Ham 1 + 2 xã Pa Ham</t>
  </si>
  <si>
    <t>Nhà văn hóa bản Pom Cại xã Mường Tùng</t>
  </si>
  <si>
    <t>Nhà văn hóa bản Mới xã Mường Tùng</t>
  </si>
  <si>
    <t>Đường BT ngõ, xóm bản Huổi Bon 2, xã Pa Ham</t>
  </si>
  <si>
    <t>Đường BT ngõ, xóm bản Mường Anh 1+2, xã Pa Ham</t>
  </si>
  <si>
    <t>Đường BT ngõ, xóm bản Háng Trở xã Nậm Nèn</t>
  </si>
  <si>
    <t>Nhà văn hóa xã Sa Lông</t>
  </si>
  <si>
    <t>Đường BT ngõ, xóm cụm 2 bản Na Sang xã Na Sang</t>
  </si>
  <si>
    <t>Đường BT ngõ, xóm cụm 2 bản Huổi Xuân xã Na Sang</t>
  </si>
  <si>
    <t>Đường BT ngõ, xóm bản Huổi Pấng xã Huổi Mí</t>
  </si>
  <si>
    <t>Đường BT ngõ, xóm bản Long Tạo xã Huổi Mí</t>
  </si>
  <si>
    <t>Đường BT ngõ, xóm bản Háng Lìa xã Sá Tổng</t>
  </si>
  <si>
    <t>Đường BT bản San Súi xã Hừa Ngài</t>
  </si>
  <si>
    <t>Đường BT ngõ, xóm bản Ma Thì Hồ 2 xã Ma Thì Hồ</t>
  </si>
  <si>
    <t>Đường BT trục thôn, xóm bản Nậm Chim xã Ma Thì Hồ</t>
  </si>
  <si>
    <t>Kiên cố hóa kênh mương Ma Lù Thàng, bản Ma Lù Thàng</t>
  </si>
  <si>
    <t>Nhà văn hóa bản Mường Mươn 2 xã Mường Mươn</t>
  </si>
  <si>
    <t>Nhà văn hóa bản Pú Chả xã Mường Mươn</t>
  </si>
  <si>
    <t>Nhà văn hóa bản Pú Múa xã Mường Mươn</t>
  </si>
  <si>
    <t>Nhà văn hóa bản Huổi Sáy xã Mường Tùng</t>
  </si>
  <si>
    <t>Nhà văn hóa xã Hừa Ngài</t>
  </si>
  <si>
    <t>Nhà lớp học điểm bản Nậm Cút, bản Cứu Táng trường THCS Nậm Nèn</t>
  </si>
  <si>
    <t>Nâng cấp, sửa chữa NSH bản Tin Tốc</t>
  </si>
  <si>
    <t>Đường bê tông ngõ xóm bản Ma Lù Thàng</t>
  </si>
  <si>
    <t>Đường trục chính bản Nậm Chua</t>
  </si>
  <si>
    <t>Đường BT ngõ, xóm bản Hô Cút xã Nậm Nèn</t>
  </si>
  <si>
    <t>Đường BT ngõ, xóm bản Thèn Pả xã Sa Lông</t>
  </si>
  <si>
    <t>Đường BT ngõ, xóm nhóm 3 bản Sa Lông 2 xã Sa Lông</t>
  </si>
  <si>
    <t>Nâng cấp, sửa chữa NSH bản Huổi Đáp</t>
  </si>
  <si>
    <t>Đường BT ngõ, xóm cụm Pu Ca bản Huổi Xuân xã Na Sang</t>
  </si>
  <si>
    <t>Nhà văn hóa bản Huổi Mí 1</t>
  </si>
  <si>
    <t>Nhà văn hóa bản Ma Lù Thàng xã Huổi Lèng</t>
  </si>
  <si>
    <t>Nhà văn hóa bản Huổi Nhả xã Mường Mươn</t>
  </si>
  <si>
    <t>Nhà văn hóa bản Huổi Ho xã Mường Mươn</t>
  </si>
  <si>
    <t>Sửa chữa, nâng cấp NSH bản Huổi Điết, xã Mường Tùng</t>
  </si>
  <si>
    <t>Nhà văn hóa bản Huổi Điết</t>
  </si>
  <si>
    <t>Nhà văn hóa xã Huổi Mí</t>
  </si>
  <si>
    <t>Nhà hiệu bộ trường THCS Mường Anh</t>
  </si>
  <si>
    <t>Nhà bán trú trường Tiểu học Sa Lông</t>
  </si>
  <si>
    <t>Nhà lớp học trường THCS xã Sa Lông</t>
  </si>
  <si>
    <t>Nhà văn hóa xã Mường Tùng</t>
  </si>
  <si>
    <t>Nhà văn hóa xã Sá Tổng</t>
  </si>
  <si>
    <t>Nhà văn hóa bản Làng Dung</t>
  </si>
  <si>
    <t>Nhà văn hóa bản Mường Anh 1 + 2</t>
  </si>
  <si>
    <t>Nhà văn hóa bản Phiêng Đất B</t>
  </si>
  <si>
    <t>Nhà văn hóa bản Ma Thì Hồ 2</t>
  </si>
  <si>
    <t>Dự án KCM năm 2020</t>
  </si>
  <si>
    <t>Nhà văn hóa bản Tin Tốc xã Mường Tùng</t>
  </si>
  <si>
    <t>Sân thể thao xã Ma Thì Hồ</t>
  </si>
  <si>
    <t>Đường bê tông ngõ xóm bản Trung dình, xã Huổi Lèng</t>
  </si>
  <si>
    <t>Đường trục bản Lùng Thàng 1 - bản Lùng Thàng 2, xã Huổi Mí</t>
  </si>
  <si>
    <t>Đường bê tông ngõ xóm bản Há La chủ A, xã Hừa Ngài</t>
  </si>
  <si>
    <t>Nhà văn hóa bản Phiêng Ban + bản Mường Tùng, xã Mường Tùng</t>
  </si>
  <si>
    <t>Đường trục bản Huổi Cang (QL 6 - bản Huổi Cang), xã Pa Ham</t>
  </si>
  <si>
    <t>Đường bê tông ngõ xóm bản Nậm Pó, xã Na Sang</t>
  </si>
  <si>
    <t>Rãnh thoát nước đường BT bản Trung Ghênh, xã Sá Tổng</t>
  </si>
  <si>
    <t>Nhà văn hóa bản Púng Giắt II, xã Mường Mươn</t>
  </si>
  <si>
    <t>Thủy lợi bản Hồ Chim I, xã Ma Thì Hồ</t>
  </si>
  <si>
    <t>Nước sinh hoạt trung tâm xã Ma Thì Hồ</t>
  </si>
  <si>
    <t>Nhà văn hóa bản Hát Tre A, xã Hừa Ngài</t>
  </si>
  <si>
    <t>NSH bản Hô Mức, xã Nậm Nèn (111 Hộ)</t>
  </si>
  <si>
    <t>Dự án khởi công mới giai đoạn 2016-2020</t>
  </si>
  <si>
    <t>Nước sinh hoạt bản Nậm Là (giai đoạn 2), xã Mường Nhé</t>
  </si>
  <si>
    <t>Xã Mường Nhé</t>
  </si>
  <si>
    <t>Nước sinh hoạt Pờ Nhù Khò, xã Sín Thầu</t>
  </si>
  <si>
    <t>Xã Sín Thầu</t>
  </si>
  <si>
    <t>Nhà văn hóa, sân thể thao các bản (bản Nậm Mỳ, bản Nậm Pan, bản Huổi Lếch) xã Huổi Lếch</t>
  </si>
  <si>
    <t>Xã Huổi Lếch</t>
  </si>
  <si>
    <t>Nhà văn hóa, sân thể thao các bản (bản Pá Mỳ 2, bản Pá Mỳ 3, bản Huổi Pết) xã Pá Mỳ</t>
  </si>
  <si>
    <t>Xã Pá Mỳ</t>
  </si>
  <si>
    <t>Nhà văn hóa, sân thể thao các bản (bản Nậm Vì, bản Huổi Chạ, bản Vang Hồ) xã Nậm Vì</t>
  </si>
  <si>
    <t>Xã Nậm Vì</t>
  </si>
  <si>
    <t>Nhà văn hóa, sân thể thao các bản (bản Xà Quế, bản Nậm Khum, bản Si Ma 1) xã Chung Chải</t>
  </si>
  <si>
    <t>Xã Chung Chải</t>
  </si>
  <si>
    <t>Nhà văn hóa, sân thể thao các bản (bản Pa Ma, bản Chiếu Sừng) xã Sen Thượng</t>
  </si>
  <si>
    <t>Xã Sen Thượng</t>
  </si>
  <si>
    <t>Đường đi bản Huổi Quang</t>
  </si>
  <si>
    <t>Xã Quảng Lâm</t>
  </si>
  <si>
    <t>Nhà văn hóa, sân thể thao các bản (bản Tả Ko Ky, bản Pờ Nhù Khò) xã Sín Thầu</t>
  </si>
  <si>
    <t>Đường bê tông bản: Tả Sú Lình, Lỳ Mà Tá xã Sín Thầu</t>
  </si>
  <si>
    <t>Nhà văn hóa các xã</t>
  </si>
  <si>
    <t>Các xã huyện Mường Nhé</t>
  </si>
  <si>
    <t>Nhà văn hóa xã Leng Su Sìn</t>
  </si>
  <si>
    <t>Xã Leng Su Sìn</t>
  </si>
  <si>
    <t>Nhà văn hóa xã Sín Thầu</t>
  </si>
  <si>
    <t>Nhà văn hóa xã Sen Thượng</t>
  </si>
  <si>
    <t>Nhà văn hóa xã Chung Chải</t>
  </si>
  <si>
    <t>Xã Chuúng Chải</t>
  </si>
  <si>
    <t>Nhà văn hóa xã Nậm Vì</t>
  </si>
  <si>
    <t>Nhà văn hóa xã Mường Toong</t>
  </si>
  <si>
    <t>Xã Mường Toong</t>
  </si>
  <si>
    <t>Nhà văn hóa xã Pá Mỳ</t>
  </si>
  <si>
    <t>Nhà văn hóa xã Nậm Kè</t>
  </si>
  <si>
    <t>Nhà văn hóa xã Huổi Lếch</t>
  </si>
  <si>
    <t>Nhà lớp học Mầm non + Tiểu học bản Á Di xã Leng Su Sìn</t>
  </si>
  <si>
    <t>Xã Leng su sìn</t>
  </si>
  <si>
    <t>Nhà lớp học Mầm non + Tiểu học bản Phứ Ma xã Leng Su Sìn</t>
  </si>
  <si>
    <t>Nhà lớp học Mầm non + Tiểu học bản Nậm Vì xã Chung Chải</t>
  </si>
  <si>
    <t>Đường bê tông bản: Huổi Thanh 2, Huổi Khon 1, Huổi Khon 2 xã Nậm Kè</t>
  </si>
  <si>
    <t>Cầu dân sinh bản Huổi Lụ 2 xã Pá Mỳ</t>
  </si>
  <si>
    <t>Đường bê tông bản Huổi Cấu xã Nậm Vì</t>
  </si>
  <si>
    <t>Đường bê tông bản Lò San Chái xã Sen Thượng</t>
  </si>
  <si>
    <t>Đường vào bản Huổi Cắn, xã Mường Toong</t>
  </si>
  <si>
    <t>Đường vào bản Pá Mỳ 3 (nhóm 1), xã Pá Mỳ</t>
  </si>
  <si>
    <t>Đường bê tông bản Phiêng Kham xã Mường Nhé</t>
  </si>
  <si>
    <t>Nhà văn hóa, sân thể thao bản Cây Sổ xã Nậm Vì</t>
  </si>
  <si>
    <t>Nhà văn hóa, sân thể thao các bản (bản Nà Pán, bản Huổi Cọ, bản Co Lót) xã Mường Nhé</t>
  </si>
  <si>
    <t>Nhà văn hóa, sân thể thao các bản (bản Huổi Khon, bản Huổi Thanh 2, bản Huổi Hẹc ) xã Nậm Kè</t>
  </si>
  <si>
    <t>Nhà văn hóa, sân thể thao các bản (bản Yên, bản Ngã Ba, bản Nậm Pan 1) xã Mường Toong</t>
  </si>
  <si>
    <t>Huyện Nậm Pồ</t>
  </si>
  <si>
    <t>Đường bê tông bản Nà Khoa 1,2 xã Nà Khoa, huyện Nậm Pồ</t>
  </si>
  <si>
    <t>Xã Nà Khoa</t>
  </si>
  <si>
    <t>Đường vào bản Huổi Đắp xã Nậm Tin</t>
  </si>
  <si>
    <t>Xã Nậm Tin</t>
  </si>
  <si>
    <t>Công trình thể thao xã Chà Cang</t>
  </si>
  <si>
    <t>Đường vào bản Tàng Do xã Nậm Tin</t>
  </si>
  <si>
    <t>Đường Nội bộ trong các bản xã Chà Nưa</t>
  </si>
  <si>
    <t>Xã Chà Nưa</t>
  </si>
  <si>
    <t>Xây dựng mới TL Nà Ín xã Chà Nưa</t>
  </si>
  <si>
    <t>Đường đi Huổi Văng - Huổi Lỏng xã Nậm Khăn</t>
  </si>
  <si>
    <t>Xã Nậm Khăn</t>
  </si>
  <si>
    <t>Nhà văn hóa xã Nậm Chua,</t>
  </si>
  <si>
    <t>Xã Nậm Chua</t>
  </si>
  <si>
    <t>Đường BT bản Huổi Đáp xã Nà Khoa</t>
  </si>
  <si>
    <t>NVH bản Pa Tần xã Pa Tần</t>
  </si>
  <si>
    <t>Xã Pa Tần</t>
  </si>
  <si>
    <t>Đường Nội bộ trong các bản xã Pa Tần</t>
  </si>
  <si>
    <t>Xây dựng mới TL Nà Hằng xã Chà Cang</t>
  </si>
  <si>
    <t>Đường vào bản Mốc 4 xã Nậm Tin</t>
  </si>
  <si>
    <t>Nhà đa năng - Khuôn viên xã Chà Nưa</t>
  </si>
  <si>
    <t>Nhà văn hóa xã Nà Khoa</t>
  </si>
  <si>
    <t>Nhà Văn hóa xã Na Cô Sa</t>
  </si>
  <si>
    <t>Xã Na Cô Sa</t>
  </si>
  <si>
    <t>Sân thể thao xã Nà Hỳ</t>
  </si>
  <si>
    <t>Đường BT Trường Tiểu Học Nà Hỳ</t>
  </si>
  <si>
    <t>Đường Hô Hài - Nậm Đích xã Chà Cang</t>
  </si>
  <si>
    <t>Đường vào bản Nậm Nhừ Con Xã Nà Khoa</t>
  </si>
  <si>
    <t>NVH bản Huổi Lụ 2 xã Nậm Nhừ</t>
  </si>
  <si>
    <t>Xã Nậm Nhừ</t>
  </si>
  <si>
    <t>Nhà văn hóa bản Huổi Po (xã Nà Khoa), nay là xã Na Cô Sa</t>
  </si>
  <si>
    <t>Nhà văn hóa xã Nậm Tin</t>
  </si>
  <si>
    <t>Nhà văn hóa bản Nậm Chẩn (xã Nà Khoa), nay là xã Na Cô Sa</t>
  </si>
  <si>
    <t>NVH bản Huổi Khương xã Vàng Đán</t>
  </si>
  <si>
    <t>Xã Vàng Đán</t>
  </si>
  <si>
    <t>NVH bản Huổi Sâu xã Pa Tần</t>
  </si>
  <si>
    <t>Đường bê tông nội bản Vằng Xôn 1,2 xã Nậm Khăn</t>
  </si>
  <si>
    <t>Đường vào bản Hô He xã Chà Tở</t>
  </si>
  <si>
    <t>Xã Chà Tở</t>
  </si>
  <si>
    <t>Đường bê tông các bản trung tâm xã Si Pa Phìn</t>
  </si>
  <si>
    <t>Xã Si Pa Phìn</t>
  </si>
  <si>
    <t>Đường vào bản Nậm Pang xã Nậm Khăn</t>
  </si>
  <si>
    <t>Nhà văn hóa xã Vàng Đán, huyện Nậm Pồ</t>
  </si>
  <si>
    <t>Nước sinh hoạt bản Sín Chải 1 xã Nà Hỳ</t>
  </si>
  <si>
    <t>Nước sinh hoạt bản Huổi Chá xã Chà Cang</t>
  </si>
  <si>
    <t>Đường bê tông vào bản Huổi Khương xã Vàng Đán</t>
  </si>
  <si>
    <t>Thủy lợi bản Nậm Nhừ Con xã Nà Khoa</t>
  </si>
  <si>
    <t>Thủy lợi bản Huổi Khương xã Pa Tần</t>
  </si>
  <si>
    <t>Sân thể thao và nhà đa năng xã Nậm Tin</t>
  </si>
  <si>
    <t>Đường nội bộ trong các bản xã Phìn Hồ huyện Nậm Pồ</t>
  </si>
  <si>
    <t>Xã Phìn Hồ</t>
  </si>
  <si>
    <t>Thị xã Mường Lay</t>
  </si>
  <si>
    <t>Đường giao thông nội đồng bản Hô Luông 3</t>
  </si>
  <si>
    <t>Xã Lay Nưa</t>
  </si>
  <si>
    <t>Xây dựng tuyến đường Giao thông nội đồng bản Tạo Sen xã Lay Nưa thị xã Mường Lay</t>
  </si>
  <si>
    <t>Đường trục nội bản  Ho Luông 1 và Ho Luông 3 xã Lay Nưa thị xã Mường Lay</t>
  </si>
  <si>
    <t>Thành phố Điện Biên Phủ</t>
  </si>
  <si>
    <t>Đường bê tông bản Co Củ</t>
  </si>
  <si>
    <t>Xã Thanh Minh</t>
  </si>
  <si>
    <t>L=511,26m</t>
  </si>
  <si>
    <t>1280/QĐ-UBND</t>
  </si>
  <si>
    <t xml:space="preserve">Kiên cố kênh mương nội đồng bản Nà Nghè, xã tà Lèng, thành phố Điện Biên Phủ </t>
  </si>
  <si>
    <t>Xã Tà Lèng</t>
  </si>
  <si>
    <t>Nâng cấp, sửa chữa đường bê tông bản Huổi Lơi, Xã Thanh Minh, thành phố Điện Biên Phủ</t>
  </si>
  <si>
    <t>Sửa chữa, nâng cấp nhà văn hóa xã Thanh Minh</t>
  </si>
  <si>
    <t>Đường bê tông bản Nà Nghè xuống khu co sản, xã Tà Lèng</t>
  </si>
  <si>
    <t>Đường bê tông tổ 1 bản Nà nghè</t>
  </si>
  <si>
    <t>Đường bê tông tổ 6 bản Tà Lèng</t>
  </si>
  <si>
    <t>Đường sản xuất nối khu pha I bản Nà Nghè vào khu sản xuất cụm Lọng Hỏm, xã Tà Lèng</t>
  </si>
  <si>
    <t>Chương trình mục tiêu quốc gia xây dựng nông thôn mới các huyện (tỷ lệ 10%)</t>
  </si>
  <si>
    <t xml:space="preserve"> Đề án xây dựng nông thôn mới vùng đồng bào dân tộc thiểu số, khu vực biên giới tỉnh Điện Biên giai đoạn 2016 – 2020</t>
  </si>
  <si>
    <t>Đường trục thôn từ bản Na Khoang (nhà ông Tiến) đến bản Pha Thanh xã Mường Nhà</t>
  </si>
  <si>
    <t>Đường trục thôn, bản từ bản Pa Xa Xá đến bản Xa Cuông xã Pa Thơm</t>
  </si>
  <si>
    <t>Đường trục xã từ bản Na Sản đến trung tâm xã Na Tông</t>
  </si>
  <si>
    <t>Đường giao thông ngõ xóm bản Cò Chạy 2 xã Mường Pồn</t>
  </si>
  <si>
    <t>Nâng cấp NSH bản Lói 1,2 + cụm bản trung tâm Mường Lói</t>
  </si>
  <si>
    <t>Xây mới NSH bản Hát Tao xã Na Tông</t>
  </si>
  <si>
    <t>Nâng cấp NSH bản Na Láy xã Na Ư</t>
  </si>
  <si>
    <t>Nâng cấp NSH bản Xôm xã Phu Luông</t>
  </si>
  <si>
    <t>Nâng cấp NSH bản Pá Chả xã Phu Luông</t>
  </si>
  <si>
    <t>Phai Co Chặm đội 6 bản Tâu xã Hua Thanh</t>
  </si>
  <si>
    <t>Nâng cấp thủy nông + kè bảo vệ ruộng bản Cò Chạy xã Mường Pồn</t>
  </si>
  <si>
    <t>Nâng cấp sửa chữa thủy nông Ca Hau (tưới bản Na Láy) xã Na Ư</t>
  </si>
  <si>
    <t>Nâng cấp đường QL12 - bản Nậm Pó, xã Na Sang, huyện Mường Chà</t>
  </si>
  <si>
    <t>c</t>
  </si>
  <si>
    <t>Đường bê tông từ bản Chuyên Gia 2 đến bản Chuyên Gia 1, xã Nậm Kè</t>
  </si>
  <si>
    <t>Mở mới đường bê tông ngõ xóm bản Cà Là Pá 1</t>
  </si>
  <si>
    <t>Đường bê tông tuyến Suối Voi - Phứ Ma, xã Leng Su Sìn</t>
  </si>
  <si>
    <t>Nâng cấp trường mầm non trung tâm xã Chung Chải</t>
  </si>
  <si>
    <t>Nâng cấp trường mầm non trung tâm xã Leng Su Sìn</t>
  </si>
  <si>
    <t>d</t>
  </si>
  <si>
    <t>Đường bê tông Nà Bủng - Nậm Tắt 1,2 xã Nà Bủng</t>
  </si>
  <si>
    <t>Đường bê tông Huổi Thủng - Na Cô Sa 3, huyện Nậm Pồ (Đường bê tông Huổi Thủng - Na Cô Sa, huyện Nậm Pồ)</t>
  </si>
  <si>
    <t>Đường bê tông nội bản Chăn Nuôi, xã Phìn Hồ</t>
  </si>
  <si>
    <t>Nhà văn hóa xã Nậm Nhừ, huyện Nậm Pồ</t>
  </si>
  <si>
    <t xml:space="preserve"> Chương trình hỗ trợ phát triển hợp tác xã giai đoạn 2015-2020</t>
  </si>
  <si>
    <t>Hỗ trợ cơ sở hạ tầng chế biến lúa gạo theo quy mô cánh đồng lớn gắn với chuỗi liên kết tiêu thụ sản phẩm của HTX dịch vụ tổng hợp Thanh Yên</t>
  </si>
  <si>
    <t xml:space="preserve"> - Nhà xưởng sơ chế</t>
  </si>
  <si>
    <t xml:space="preserve">Hỗ trợ hỗ trợ kết cấu hạ tầng HTX công nông nghiệp Noong Hẹt </t>
  </si>
  <si>
    <t xml:space="preserve"> - Kho, xưởng sơ chế, chế biến sản phẩm nông nghiệp</t>
  </si>
  <si>
    <t xml:space="preserve"> - Đường giao thông trục chính nội đồng </t>
  </si>
  <si>
    <t>Biểu số 2a</t>
  </si>
  <si>
    <t>DANH MỤC DỰ ÁN ĐỀ NGHỊ ĐIỀU CHỈNH KẾ HOẠCH ĐẦU TƯ TRUNG HẠN GIAI ĐOẠN 2016-2020 VỐN CHƯƠNG TRÌNH MỤC TIÊU QUỐC GIA NÔNG THÔN MỚI</t>
  </si>
  <si>
    <t>B.31.</t>
  </si>
  <si>
    <t xml:space="preserve"> Chương trình Giảm nghèo bền vững (Chương trình 135 tỷ lệ 90%)</t>
  </si>
  <si>
    <t>Các dự án chuyển tiếp từ giai đoạn 2011-2015 sang giai đoạn 2016-2020</t>
  </si>
  <si>
    <t>Thủy lợi thôn Kể Cải, xã Mường Báng</t>
  </si>
  <si>
    <t>Bê tông hóa đường nội thôn Từ Ngài 1, xã Mường Báng</t>
  </si>
  <si>
    <t>L = 0,535 km</t>
  </si>
  <si>
    <t>Nhà văn hóa thôn Sông Ún, xã Mường Báng</t>
  </si>
  <si>
    <t>Nhà cấp III, 1 tầng; Sxd:160m2, Ssd: 110m2.</t>
  </si>
  <si>
    <t>Đường giao thông nội thôn Pê Răng Ky từ nhà ông Khá đến sông Đà, xã Huổi Só</t>
  </si>
  <si>
    <t>L = 0,8 km</t>
  </si>
  <si>
    <t>Đường giao thông Pê Răng Ky - Căn Hồ, xã Huổi Só</t>
  </si>
  <si>
    <t xml:space="preserve">L = 0,51 km
</t>
  </si>
  <si>
    <t>Đường nội thôn Tù Cha tuyến nhà ông Tăm - Nhà Trường, xã Huổi Só</t>
  </si>
  <si>
    <t>L = 0,736 km</t>
  </si>
  <si>
    <t>Bê tông hóa đường nội thôn Háng Pàng tuyến nhà Bà Hoa - Nhà ông Chu, xã Huổi Só</t>
  </si>
  <si>
    <t>Đường giao thông nội thôn thôn Háng Sùa (tuyến nhà ông Trăng A Sình - Trốn Đăng), xã Tả Sìn Thàng</t>
  </si>
  <si>
    <t xml:space="preserve">L = 0,699 km
</t>
  </si>
  <si>
    <t>Đường giao thông nội thôn Đợi Khó Sì - Làng Sảng 1, xã Tả Sìn Thàng</t>
  </si>
  <si>
    <t>Nâng cấp tuyến đường giao thông Páo Tỉnh Làng 2 - Páo Tỉnh Làng 1, xã Tả Sìn Thàng</t>
  </si>
  <si>
    <t>Đường dân sinh thôn Đun Nưa, xã Mường Đun</t>
  </si>
  <si>
    <t>Thủy lợi Bản Kép, xã Mường Đun</t>
  </si>
  <si>
    <t>Nâng cấp, sửa chữa thủy lợi Bản Hột, xã Mường Đun</t>
  </si>
  <si>
    <t>Nhà Văn hóa thôn Pá Ỏ, xã Mường Đun</t>
  </si>
  <si>
    <t>Bê tông hóa đường nội thôn Bản Cáp, thị trấn Tủa Chùa</t>
  </si>
  <si>
    <t>Thị trấn</t>
  </si>
  <si>
    <t>Bê tông hóa đường nội thôn Bản Cáp, thị trấn Tủa Chùa giai đoạn 2 (các nhánh trong bản)</t>
  </si>
  <si>
    <t>Bê tông hóa đường thôn 1- thôn 3, xã Lao Xả Phình</t>
  </si>
  <si>
    <t>Tuyến đường từ thôn 1 đi thôn Lầu Câu Phình xã Lao Xả Phình</t>
  </si>
  <si>
    <t>Đường nội đồng thôn Nhè Sua Háng tuyến Trung Đúa Ninh - Háng Tua Tử, xã Trung Thu</t>
  </si>
  <si>
    <t>Tuyến đường từ thôn Nhè Sua Háng xã Trung Thu đi thôn 2 xã Sính Phình</t>
  </si>
  <si>
    <t>Đường nội đồng thôn Phi Giàng 2 tuyến nhà ông Di - sông Đà, xã Tủa Thàng</t>
  </si>
  <si>
    <t>Đường nội đồng thôn Tà Si Láng tuyến nhà ông Đông - Ruộng Ông Bẻ, xã Tủa Thàng</t>
  </si>
  <si>
    <t>Đường nội đồng thôn Làng Vùa 2 tuyến nhà ông Phừ - Cánh đồng Háng Á nhà ông Súa, xã Tủa Thàng</t>
  </si>
  <si>
    <t>Đường giao thông Đở Chí Khơ Ghênh- Háng Màng thôn Đề Chu, xã Tủa Thàng</t>
  </si>
  <si>
    <t>Đường giao thông nội thôn Sín Chải, xã Sín Chải</t>
  </si>
  <si>
    <t>Đường giao thông Đở Khó Pàng đi Tà Mông Sua, xã Sín Chải</t>
  </si>
  <si>
    <t>Đường Dân sinh thôn Cáng Chua</t>
  </si>
  <si>
    <t>Nhà ở bán trú trường Tiểu học xã  Xá Nhè</t>
  </si>
  <si>
    <t>Nhà lớp học mầm non thôn Pàng Nhang, xã Xá Nhè</t>
  </si>
  <si>
    <t>Đường từ ngã ba chợ đến Pàng Dề B (nhà ông Giao), xã Xá Nhè</t>
  </si>
  <si>
    <t>Đường từ nhà ông Hờ vào Bản Hẹ 2</t>
  </si>
  <si>
    <t>0,7Km</t>
  </si>
  <si>
    <t>Đường từ Phiêng Quảng ra khu sản xuất</t>
  </si>
  <si>
    <t>Nhà lớp học Điểm trường Tiểu học thôn Háng Đề Dê 1+2, Xã Sính Phình</t>
  </si>
  <si>
    <t>Thủy lợi Tà Dung thôn Háng Đề Dê 1, xã Sính Phình</t>
  </si>
  <si>
    <t>Nhà văn hóa xã Sính Phình</t>
  </si>
  <si>
    <t>Bê tông hóa đường trục thôn Tà Dê tuyến đường chính - Nhà ông Giàng A Lỳ, xã Tả Phìn</t>
  </si>
  <si>
    <t>Nhà lớp học mầm non thôn Tủa Chử Phùng, xã Tả Phìn</t>
  </si>
  <si>
    <t>Đường nội đồng thôn Háng Sung 1 tuyến Nhà ông Thào A Sang - Chớ Tính, xã Tả Phìn</t>
  </si>
  <si>
    <t>Nhà văn hóa thôn Háng Sung II, xã Tả Phìn</t>
  </si>
  <si>
    <t>Huyện Tuần Giáo</t>
  </si>
  <si>
    <t>Đường giao thông bản Nậm Din – Hang Khúa, xã Phình Sáng</t>
  </si>
  <si>
    <t>Đường liên bản Pậu + bản Món + bản Hới Trong tới khu tái định cư xã Quài Tở, huyện Tuần Giáo</t>
  </si>
  <si>
    <t>Đường giao thông từ bản Cộng đến bản Phang xã Chiềng Đông</t>
  </si>
  <si>
    <t>xã Chiềng Đông</t>
  </si>
  <si>
    <t>Đường giao thông từ ngã ba Pa Cá đến bản Nậm Cá xã Nà Sáy</t>
  </si>
  <si>
    <t xml:space="preserve">Đường giao thông bản Yên - Thẳm Xả xã Mường Thín </t>
  </si>
  <si>
    <t>Điểm trường mầm non chiềng Ban xã Mùn Chung</t>
  </si>
  <si>
    <t xml:space="preserve">Điểm trường mầm non Hua Mức 2 </t>
  </si>
  <si>
    <t>18-19</t>
  </si>
  <si>
    <t>Nhà văn hóa bản Co Đứa xã Mường Khong</t>
  </si>
  <si>
    <t>Đường từ ngã ba (Tênh phông, Huổi Anh) đến bản Huổi Anh xã Tênh Phông</t>
  </si>
  <si>
    <t>3,3km; Bn=3n; Bm=2m</t>
  </si>
  <si>
    <t>Đường Trung tâm xã Rạng Đông – bản Háng Á</t>
  </si>
  <si>
    <t>Đường giao thông từ QL6 đến bản Lọng Hống xã Quài Nưa</t>
  </si>
  <si>
    <t>Điểm trường MN bản Hốc, bản Hỏm xã Mường Mùn</t>
  </si>
  <si>
    <t>Đường dân sinh ngầm tràn liên hợp bản Nong Tóng xã Nà Tòng</t>
  </si>
  <si>
    <t>Bản đặc biệt khó khăn (01 bản) Đường nội bản bản Dửn GĐ2</t>
  </si>
  <si>
    <t>Xã Chiềng Sinh</t>
  </si>
  <si>
    <t>Các dự án bổ sung danh mục</t>
  </si>
  <si>
    <t>Nước sinh hoạt trung tâm xã Phình Sáng</t>
  </si>
  <si>
    <t>Thủy lợi bản Cong, bản Sảo xa Quài Cang</t>
  </si>
  <si>
    <t>Đường bản Hán xã Quài Cang</t>
  </si>
  <si>
    <t>Đường Nậm Cá - bản Hồng Lực, xã Nà Sáy</t>
  </si>
  <si>
    <t>Đường Quốc lộ 6-bản Co Sản, xã Mùn Chung</t>
  </si>
  <si>
    <t>Huyện Mường Ảng</t>
  </si>
  <si>
    <t>Đường giao thông nội bản Pá Khôm, xã Nặm Lịch</t>
  </si>
  <si>
    <t>2016-2016</t>
  </si>
  <si>
    <t>Đường giao thông thổ lộ khu B đi quốc lộ 279, xã Ẳng Tở</t>
  </si>
  <si>
    <t>700m</t>
  </si>
  <si>
    <t>Kéo dài kênh Hua Ná 2, xã Mường Lạn</t>
  </si>
  <si>
    <t>6ha lúa</t>
  </si>
  <si>
    <t>Kênh Phai Bút, xã Mường Đăng</t>
  </si>
  <si>
    <t>10ha lúa</t>
  </si>
  <si>
    <t>Thủy lợi Huổi Xá bản Ngối - Xã Ngối Cáy</t>
  </si>
  <si>
    <t>Thủy lợi bản Lao (khu cao), xã Xuân Lao</t>
  </si>
  <si>
    <t>Đường nội bản Thẩm Phẩng (Thẩm phẩng-Thẩm Hé)</t>
  </si>
  <si>
    <t>600m</t>
  </si>
  <si>
    <t>Ngầm tràn liên hợp bản Hua Ná A - Hua Ná B xã Mường Lạn</t>
  </si>
  <si>
    <t>100 + ngầm tràn</t>
  </si>
  <si>
    <t>Trường mầm non bản Kéo Nánh, xã Búng Lao</t>
  </si>
  <si>
    <t>Kênh Ná Sa Nọ, xã Ẳng Tở</t>
  </si>
  <si>
    <t>Thủy Lợi bản Pháy - xã xuân Lao</t>
  </si>
  <si>
    <t>Thủy lợi Huổi tăng - bản Pọng - xã Mường Đăng</t>
  </si>
  <si>
    <t>4ha</t>
  </si>
  <si>
    <t>Đường giao thộng nội bản kéo - xã Ẳng Cang</t>
  </si>
  <si>
    <t>Đường giao thông nội bản Noong Háng, xã Ẳng Cang</t>
  </si>
  <si>
    <t>Đường dân sinh bản Bánh, xã Ẳng Cang</t>
  </si>
  <si>
    <t>cắt giảm</t>
  </si>
  <si>
    <t>Đường giao thông liên bản Lạn A - Lạn B - Nhộp - xã Mường Lạn</t>
  </si>
  <si>
    <t>Đường dân sinh bản Pá Sáng, xã Búng Lao</t>
  </si>
  <si>
    <t>1,1km</t>
  </si>
  <si>
    <t>Đường dân sinh vào khu Huổi Tun - Co Có, xã Mường Đăng</t>
  </si>
  <si>
    <t>Đường nội bản Chan II, xã Mường Đăng</t>
  </si>
  <si>
    <t>Sửa chữa, nâng cấp NSH bản Co Cọ, xã Ẳng Tở</t>
  </si>
  <si>
    <t>Đường nội bản Pu Cai, xã Ẳng Cang</t>
  </si>
  <si>
    <t>Danh mục cắt giảm</t>
  </si>
  <si>
    <t>Nhà văn hóa bản Giảng, xã Ẳng Cang</t>
  </si>
  <si>
    <t>Sửa chữa, nâng cấp NSH bản Chan III, xã Ngối Cáy</t>
  </si>
  <si>
    <t>Ngầm tràn bản Pá Cha (khu bản Ten) đi quốc lộ 279, xã Ẳng Tở</t>
  </si>
  <si>
    <t>Danh mục dự án bổ sung</t>
  </si>
  <si>
    <t>Đường dân sinh từ bản Huổi Châng - Huổi Háo, xã Ẳng Tở</t>
  </si>
  <si>
    <t>Đường nội bản Pú Súa - Ẳng Cang (giai đoạn 2)</t>
  </si>
  <si>
    <t>Đường lên bản Hua Nguống- Co En,xã Ẳng Cang</t>
  </si>
  <si>
    <t>Đường nội bản thổ lộ khu B, xã Ẳng tở</t>
  </si>
  <si>
    <t>Danh mục dự án bổ sung theo VB số 2884/UBND-KT</t>
  </si>
  <si>
    <t>Đường nội bản Cáy (đoạn từ trường cấp II đến nhà ông Minh, ông Dịn), xã Ngối Cáy</t>
  </si>
  <si>
    <t>IV</t>
  </si>
  <si>
    <t>Huyện Mường Chà</t>
  </si>
  <si>
    <t>Đường giao thông cụm 2 Huổi Xuân – cụm Pu Ca, xã Na Sang</t>
  </si>
  <si>
    <t>Xã Na Sang</t>
  </si>
  <si>
    <t>250-17/02/2016</t>
  </si>
  <si>
    <t>Thủy lợi bản San Suối, xã Hừa Ngài</t>
  </si>
  <si>
    <t>Xã Hừa Ngài</t>
  </si>
  <si>
    <t>500 - 29/3/2016</t>
  </si>
  <si>
    <t>Thủy lợi Tổ dân phố số 13, Thị trấn Mường Chà</t>
  </si>
  <si>
    <t>15 ha</t>
  </si>
  <si>
    <t>499 - 29/3/2016</t>
  </si>
  <si>
    <t>Thủy lợi bản Huổi Đáp xã Pa Ham</t>
  </si>
  <si>
    <t>Xã Pa Ham</t>
  </si>
  <si>
    <t>Đường giao thông Km5 (QL 12 - TT xã Hừa Ngài) đi bản Ma Lù Thàng, xã Huổi Lèng</t>
  </si>
  <si>
    <t>Xã Huổi Lèng</t>
  </si>
  <si>
    <t>Thủy lợi bản Phiêng Đất A + Phiêng Đất B, xã Nậm Nèn</t>
  </si>
  <si>
    <t>Xã Nậm Nèn</t>
  </si>
  <si>
    <t>Thủy lợi bản Nậm Chim I tại Km 18+19, xã Ma Thì Hồ</t>
  </si>
  <si>
    <t>Xã Ma Thì Hồ</t>
  </si>
  <si>
    <t>Đường QL6 - Xà Phình 1</t>
  </si>
  <si>
    <t>Xã Sá Tổng</t>
  </si>
  <si>
    <t>Đường giao thông bản Huổi Sáy - bản Púng Trạng</t>
  </si>
  <si>
    <t>Xã Mường Tùng</t>
  </si>
  <si>
    <t>Mở mới
14 km</t>
  </si>
  <si>
    <t>Đường bê tông bản Háng Lìa - Nhóm Háng Dù</t>
  </si>
  <si>
    <t>Thủy lợi Na Lúm bản Phiêng Ban, bản Mới, xã Mường Tùng</t>
  </si>
  <si>
    <t>Đường BT trung tâm xã - bản Pú Chả</t>
  </si>
  <si>
    <t>Xã Mường Mươn</t>
  </si>
  <si>
    <t>Thủy lợi bản Đề Dê xã Sá Tổng</t>
  </si>
  <si>
    <t>7ha</t>
  </si>
  <si>
    <t xml:space="preserve">Đường giao thông tỉnh lộ 150 Km 19 - Bản Nậm Piền </t>
  </si>
  <si>
    <t>Đường giao thông bản Há La chủ B - bản San Sả Hồ</t>
  </si>
  <si>
    <t>Thủy lợi Háng Lìa Làu, bản Sa Lông 1, xã Sa Lông</t>
  </si>
  <si>
    <t>Dự án bổ sung</t>
  </si>
  <si>
    <t>Nước sinh hoạt bản Nậm Cút, xã Nậm nèn</t>
  </si>
  <si>
    <t>V</t>
  </si>
  <si>
    <t>Huyện Nậm Pồ</t>
  </si>
  <si>
    <t>Tiếp chi dự án chuyển tiếp 2013-2015 sang 2016-2020</t>
  </si>
  <si>
    <t>Danh mục dự án khởi công mới năm 2016-2020</t>
  </si>
  <si>
    <t>Đường BT bản ngải thầu 1 xã Nà Bủng</t>
  </si>
  <si>
    <t>Đường Vân Hồ - Long Dạo xã Si Pa Phìn</t>
  </si>
  <si>
    <t>Nhà văn hóa bản Ham Xoong 1, xã Vàng Đán</t>
  </si>
  <si>
    <t>Đường bê tông nội bản sín chải 1,2 Xã Nà Hỳ</t>
  </si>
  <si>
    <t>Xây dựng mới thủy lợi bản Huổi Đáp xã Nà Khoa</t>
  </si>
  <si>
    <t>Nhà lớp học tiểu học xã Nậm Chua, huyện Nậm Pồ</t>
  </si>
  <si>
    <t>Đường vào bản Ham Xong 1,2 xã Vàng Đán</t>
  </si>
  <si>
    <t>Đường bê tông bản Nậm Nhừ 3 xã Nậm Nhừ</t>
  </si>
  <si>
    <t>Đường BT bản Nậm Tin 2, xã Nậm Tin</t>
  </si>
  <si>
    <t>Đường BT các bản xã Chà Tở</t>
  </si>
  <si>
    <t>Nhà Văn hóa bản Nậm Hài xã Chà Cang</t>
  </si>
  <si>
    <t>NVH bản Hô Tâu xã Nậm Khăn</t>
  </si>
  <si>
    <t xml:space="preserve">Đường BT bản Nà Sự xã Chà Nưa </t>
  </si>
  <si>
    <t>Đường BT nội bản Nậm Đích xã Chà Nưa</t>
  </si>
  <si>
    <t>Nhà văn hóa bản Sín Chải 1, xã Nà Hỳ</t>
  </si>
  <si>
    <t>Nhà Văn hóa bản Hô Hài xã Chà Cang</t>
  </si>
  <si>
    <t>Nhà văn hóa bản Ham Xoong 2, xã Vàng Đán</t>
  </si>
  <si>
    <t xml:space="preserve">Đường BT bản Hô Bai xã Chà Nưa </t>
  </si>
  <si>
    <t>NVH bản Hô Bai xã Chà Nưa</t>
  </si>
  <si>
    <t>NVH bản Nậm Chua 4, xã Nậm Chua</t>
  </si>
  <si>
    <t>NVH bản Đề Pua xã Phìn Hồ</t>
  </si>
  <si>
    <t>Nhà văn hóa bản Nậm Nhừ 1 xã Nậm Nhừ</t>
  </si>
  <si>
    <t>NVH bản Vàng Xôn 1 xã Nậm Khăn</t>
  </si>
  <si>
    <t>Nhà Văn hóa bản Huổi Cơ Dạo xã Nà Hỳ</t>
  </si>
  <si>
    <t>NVH bản Mạy Hốc xã Phìn Hồ</t>
  </si>
  <si>
    <t>Nhà văn hóa bản Nậm Đích xã Chà Nưa</t>
  </si>
  <si>
    <t>Nhà văn hóa bản Nộc Cốc xã Vàng Đán</t>
  </si>
  <si>
    <t>NVH bản Ta Hăm xã Pa Tần</t>
  </si>
  <si>
    <t>Nhà văn hóa bản Nậm Ngà 1, Nậm Chua</t>
  </si>
  <si>
    <t>NVH bản Huổi Púng xã Pa Tần</t>
  </si>
  <si>
    <t>Nhà văn hóa bản Huổi Lụ 1, xã Nà Khoa</t>
  </si>
  <si>
    <t>Xây dựng mới thủy lợi Huổi Lụ 1 xã Nà Khoa</t>
  </si>
  <si>
    <t>Đương bê tông bản Nậm Tin 1 xã Nậm Tin</t>
  </si>
  <si>
    <t>Danh mục dự án bổ sung ( Lồng ghép NTM )</t>
  </si>
  <si>
    <t>Sân thể thao và nhà Đa năng xã Nậm Tin</t>
  </si>
  <si>
    <t>VI</t>
  </si>
  <si>
    <t>Huyện Mường Nhé</t>
  </si>
  <si>
    <t>Tiền thừa chưa phân bổ</t>
  </si>
  <si>
    <t>Các dự án khởi công GĐ 2016-2020</t>
  </si>
  <si>
    <t>Cứng hóa đường giao thông nội bản: Sen Thượng, Tả Khoa Pá, Tả Ló San</t>
  </si>
  <si>
    <t>Cứng hóa đường giao thông nội bản: Pá Mỳ 1+2+3, Huổi Lụ 1</t>
  </si>
  <si>
    <t>Cứng hóa đường giao thông nội bản: Nậm Pắc, Xi Ma, Nậm Khum, Nậm Sin</t>
  </si>
  <si>
    <t xml:space="preserve">Cứng hóa đường giao thông nội bản: Nậm Mỳ 1+2, Nậm Pan 2 </t>
  </si>
  <si>
    <t xml:space="preserve">Cứng hóa đường giao thông nội bản: Nậm Kè 1, Chuyên Gia 1, Chuyên Gia 2, Chuyên Gia 3, Huổi Hốc, Huổi Hẹc </t>
  </si>
  <si>
    <t>Kiên cố hóa kênh mương Phứ Ma</t>
  </si>
  <si>
    <t>Cứng hóa đường giao thông nội bản: Tả Ko Ky, Tá Miếu, Pờ Nhù Khò</t>
  </si>
  <si>
    <t>Cứng hóa đường giao thông nội bản: Long San, Pa Ma xã Sen Thượng</t>
  </si>
  <si>
    <t>Cứng hóa đường giao thông nội bản: huổi lũm, cây sổ</t>
  </si>
  <si>
    <t>Cứng hóa đường giao thông nội bản: huổi lắp, dền thàng, chà nọi 1</t>
  </si>
  <si>
    <t>Cứng hóa đường giao thông nội bản: mường toong 2, ngã ba</t>
  </si>
  <si>
    <t>Cứng hóa đường giao thông nội bản: nậm vì,  vang hồ</t>
  </si>
  <si>
    <t>Cứng hóa đường giao thông nội bản: nà pán, huổi cọ, nậm là</t>
  </si>
  <si>
    <t>Cứng hóa đường giao thông nội bản: bản yên, tà hàng, huổi pinh</t>
  </si>
  <si>
    <t>Cứng hóa đường giao thông nội bản: cây sặt, nậm hính 1+2</t>
  </si>
  <si>
    <t>Cứng hóa đường giao thông nội bản: pá lùng, xà quế, húi to 1, húi to 2</t>
  </si>
  <si>
    <t>Cứng hóa đường giao thông nội bản: leng su sìn, Gia Chứ</t>
  </si>
  <si>
    <t>Cứng hóa đường giao thông nội bản: huổi lụ 2, huổi pết</t>
  </si>
  <si>
    <t>VII</t>
  </si>
  <si>
    <t>Huyện Điện Biên</t>
  </si>
  <si>
    <t xml:space="preserve"> Đường giao thông bản Đông Mệt, xã Pá Khoang, huyện Điện Biên</t>
  </si>
  <si>
    <t>Xã Pa Khoang</t>
  </si>
  <si>
    <t xml:space="preserve"> Đường giao thông bản Hạ, xã Thanh Nưa, huyện Điện Biên</t>
  </si>
  <si>
    <t xml:space="preserve"> Đường giao thông bản Nậm Ty, xã Hua Thanh, huyện Điện Biên</t>
  </si>
  <si>
    <t xml:space="preserve"> Đường giao thông bản Huổi Un, xã Mường Pồn, huyện Điện Biên</t>
  </si>
  <si>
    <t xml:space="preserve"> Đường giao thông bản Xôm 1+2, xã Pá Khoang, huyện Điện Biên</t>
  </si>
  <si>
    <t xml:space="preserve"> Đường giao thông bản Giảng, xã Thanh Nưa, huyện Điện Biên</t>
  </si>
  <si>
    <t xml:space="preserve"> Đường giao thông bản  Xã Nhù, xã Hua Thanh, huyện Điện Biên</t>
  </si>
  <si>
    <t xml:space="preserve"> Thủy lợi nậm liếng bản Che căn xã Mường Phăng</t>
  </si>
  <si>
    <t>Thủy lợi Na Côm, xã Hẹ Muông</t>
  </si>
  <si>
    <t>Thủy lợi Na Co Cượm xã Mường Phăng</t>
  </si>
  <si>
    <t>Đường giao thông nông thôn bản Nà Nhạn 1 xã Nà Nhạn</t>
  </si>
  <si>
    <t>Thủy lợi bản Nà Tấu xã Nà Tấu, huyện Điện Điên</t>
  </si>
  <si>
    <t xml:space="preserve"> Nước sinh hoạt bản Mốc C5, xã Phu Luông</t>
  </si>
  <si>
    <t xml:space="preserve"> Xã Phu Luông</t>
  </si>
  <si>
    <t xml:space="preserve"> Kè chống sạt lở ruộng bản Pa Xa Xá, xã Pa Thơm huyện Điện Biên</t>
  </si>
  <si>
    <t>Đường bản Na Chén, xã Mường Lói</t>
  </si>
  <si>
    <t xml:space="preserve">Kiên cố hóa đường giao thông bản Chiềng Đông xã Thanh Yên, huyện Điện Biên. </t>
  </si>
  <si>
    <t>Đường bản Huổi Chanh, xã Na Tông</t>
  </si>
  <si>
    <t>Nước sinh hoạt bản Na Hai 1,2 xã Pom Lót</t>
  </si>
  <si>
    <t>Đường giao thông bản On xã Thanh Nưa, huyện Đỉện Biên</t>
  </si>
  <si>
    <t>Đường giao thông nông thôn bản Co Khô xã Mường Phăng</t>
  </si>
  <si>
    <t>Đường giao thông nông thôn bản Nà Nọi 1, bản Huổi Chổn xã Nà Nhạn</t>
  </si>
  <si>
    <t xml:space="preserve"> Đường giao thông nông thôn bản sáng xã Pá Khoang, huyện Điện Biên</t>
  </si>
  <si>
    <t>Thủy lợi bản Na Ố, xã Na Tông</t>
  </si>
  <si>
    <t>Cầu treo bản Xa Cuông xã Pa Thơm</t>
  </si>
  <si>
    <t xml:space="preserve"> Thủy lợi bản Pha Phay xã Mường Nhà</t>
  </si>
  <si>
    <t>Đường giao thông nông thôn bản Tẩu Pung 2 xã Nà Nhạn</t>
  </si>
  <si>
    <t>Đường Quốc lộ 279 - đi bản Nà Pen 1, 2, 3 xã Nà Nhạn</t>
  </si>
  <si>
    <t xml:space="preserve"> Thủy lợi bản Lĩnh xã Mường Pồn</t>
  </si>
  <si>
    <t>Thủy lợi bản Sơn Tống, xã Na Tông</t>
  </si>
  <si>
    <t>Đường giao thông nông thôn từ QL 279 bản Hoa đi bản Hua Luống xã Nà Tấu</t>
  </si>
  <si>
    <t>Cấp nước sinh hoạt bản Na Láy xã Na Ư, huyện Điện Biên</t>
  </si>
  <si>
    <t xml:space="preserve"> Nước sinh hoạt bản Púng Bửa xã Na Ư, huyện Điện Biên</t>
  </si>
  <si>
    <t>Đường bê tông bản Hẹ 2 xã Hẹ Muông</t>
  </si>
  <si>
    <t xml:space="preserve"> Nâng cấp đường từ bản Ten lúa đến bảnTin Đán xã Núa Ngam</t>
  </si>
  <si>
    <t xml:space="preserve"> Nhà lớp học Mầm non điểm bản Mốc C5 xã Phu Luông</t>
  </si>
  <si>
    <t xml:space="preserve"> Cầu Bê tông số 2 bản Huổi Cảnh, xã Phu Luông</t>
  </si>
  <si>
    <t xml:space="preserve"> Đường bê tông bản Ka Hau xã Na Ư, huyện Điện Biên</t>
  </si>
  <si>
    <t>Đường bê tông bản Hạ, xã Thanh Yên</t>
  </si>
  <si>
    <t xml:space="preserve"> Xã Thanh Yên</t>
  </si>
  <si>
    <t>Đường Bê tông nội bản Na Ten xã Pom Lót</t>
  </si>
  <si>
    <t xml:space="preserve"> Xã Pom Lót</t>
  </si>
  <si>
    <t>Đường Bê tông nội bản Pá Nậm xã Pom Lót</t>
  </si>
  <si>
    <t>Nối tiếp kênh mương đoạn từ bản Na Ten đến cầu bản Pá Nậm, xã Pom Lót</t>
  </si>
  <si>
    <t>Đường giao thông nội bản Đội 14, xã Thanh Xương</t>
  </si>
  <si>
    <t xml:space="preserve"> Xã Thanh Xương</t>
  </si>
  <si>
    <t>Hạng mục phụ trợ nhà văn hóa bản Bông A, xã Noong Hẹt (gồm: Sân BT, tường bao, cổng, công trình vệ sinh)</t>
  </si>
  <si>
    <t xml:space="preserve"> Xã Noong Hẹt</t>
  </si>
  <si>
    <t>Đường bê tông bản Bông A, xã Noong Hẹt</t>
  </si>
  <si>
    <t>Đường bê tông trục bản On, bản Lún B, xã Noong Luống</t>
  </si>
  <si>
    <t xml:space="preserve"> Xã Noong Luống</t>
  </si>
  <si>
    <t>Danh mục thay thế</t>
  </si>
  <si>
    <t>Đươờng giao thông nông thôn nhánh từ trường mầm non đến đầu bản Cang 1 xã nà tấu</t>
  </si>
  <si>
    <t>Nâng cấp tuyến đường nội đồng, nhánh Chua Đớ bản Na Ư, xã na Ư</t>
  </si>
  <si>
    <t>VIII</t>
  </si>
  <si>
    <t>Huyện Điện Biên Đông</t>
  </si>
  <si>
    <t>Dự án chuyển tiếp từ giai đoạn 2011-2015 sang giai đoạn 2016-2020 hoàn thành và bàn giao đưa vào sử dụng trước năm 2015</t>
  </si>
  <si>
    <t>Tiếp chi cho các dự án CT 135 năm 2015</t>
  </si>
  <si>
    <t>Lồng ghép tiếp chi cho các dự án chương trình MTQG xây dựng NTM năm 2015</t>
  </si>
  <si>
    <t>Khởi công mới GĐ 2016-2020 hoàn thành và bàn giao đưa vào sử dụng trong giai đoạn 2016-2020</t>
  </si>
  <si>
    <t>Đường bê tông tổ 3 thị trấn ĐBĐ</t>
  </si>
  <si>
    <t>Thị trấn ĐBĐ</t>
  </si>
  <si>
    <t>0,75 km</t>
  </si>
  <si>
    <t>Thủy lợi Huổi Chứn xã Na Son</t>
  </si>
  <si>
    <t>9 ha</t>
  </si>
  <si>
    <t>Thủy lợi Nà Nếnh B xã Pú Hồng</t>
  </si>
  <si>
    <t>3 ha</t>
  </si>
  <si>
    <t>Đường bê tông nội cụm Trung tâm Mường Luân xã Mường Luân</t>
  </si>
  <si>
    <t>0,45 km</t>
  </si>
  <si>
    <t>Ngầm tràn liên hợp Pá Khôm – Phiêng Búng xã Luân Giói</t>
  </si>
  <si>
    <t>Nâng cấp đường giao thông Thẩm Mỹ A,B - Nà Sản xã Sa Dung</t>
  </si>
  <si>
    <t>Xã Sa Dung</t>
  </si>
  <si>
    <t>Thủy lợi Páo Sênh A xã Phì Nhừ</t>
  </si>
  <si>
    <t>6,5 ha</t>
  </si>
  <si>
    <t>Thủy lợi Huổi Hoa A2  xã Keo Lôm</t>
  </si>
  <si>
    <t>16 ha</t>
  </si>
  <si>
    <t>Đường giao thông Na Sang - Tà Té A,B,C,D xã Nong U</t>
  </si>
  <si>
    <t>Đường giao thông bản Pu Cay (giai đoạn II) xã Pú Nhi</t>
  </si>
  <si>
    <t>4,6 km</t>
  </si>
  <si>
    <t>Đường bê tông tổ 4 Thị trấn ĐBĐ</t>
  </si>
  <si>
    <t>Đường bê tông tổ 1 Thị trấn ĐBĐ</t>
  </si>
  <si>
    <t>0,65 km</t>
  </si>
  <si>
    <t>Thủy lợi bản Huổi Tống 1 xã Háng Lìa</t>
  </si>
  <si>
    <t>Đường giao thông Pa Cá - Phì Cao xã Phình Giàng</t>
  </si>
  <si>
    <t>1,4 km</t>
  </si>
  <si>
    <t>Nâng cấp đường giao thông bản Na Hay A,B xã Tìa Dình</t>
  </si>
  <si>
    <t>3,2 km</t>
  </si>
  <si>
    <t>Nâng cấp đường giao thông bản Háng Sông dưới - bản Pó Sinh xã Phì nhừ</t>
  </si>
  <si>
    <t>Đường giao thông Nà Sản A - Ca Tâu xã Sa Dung</t>
  </si>
  <si>
    <t>5,8 km</t>
  </si>
  <si>
    <t>Đường bê tông Háng Lìa - Huổi Sông xã Háng Lìa</t>
  </si>
  <si>
    <t>Đường giao thông đi khu sản xuất Sua Tùng bản Xa Vua C xã Phình Giàng</t>
  </si>
  <si>
    <t>1,7 km</t>
  </si>
  <si>
    <t>Nâng cấp đường giao thông Pá Chuông - Lọong Chuông xã Na Son</t>
  </si>
  <si>
    <t>2,1 km</t>
  </si>
  <si>
    <t>Đường Bê tông bản Tào La A,B xã Tìa Dình</t>
  </si>
  <si>
    <t>Đường Bê tông Nà Nếnh C- Nà Nếnh B</t>
  </si>
  <si>
    <t>1,1 km</t>
  </si>
  <si>
    <t>Đường giao thông bản Trung Sua xã Keo Lôm</t>
  </si>
  <si>
    <t>Đường giao thông bản Thanh Ngám - Dư O A,B xã Nong U</t>
  </si>
  <si>
    <t>Đường bê tông Huổi Tống B - Huổi Va xã Háng Lìa</t>
  </si>
  <si>
    <t>Đường giao thông bản Nậm Mắn xã Chiềng Sơ</t>
  </si>
  <si>
    <t>Đường bê tông bản Chua Ta B - đi trung tâm xã</t>
  </si>
  <si>
    <t>Nâng cấp đường giao thông Nà Nếnh A - Nà Nếnh B xã Pú Hồng</t>
  </si>
  <si>
    <t>Danh mục đề nghị bổ sung</t>
  </si>
  <si>
    <t>Nâng cấp đường giao thông Na Ngua - Co Cưởm</t>
  </si>
  <si>
    <t>Nâng cấp đường giao thông Na Cai - Na Án</t>
  </si>
  <si>
    <t>Nâng cấp đường giao thông vào bản Huổi Hu</t>
  </si>
  <si>
    <t>Nâng cấp đường giao thông vào bản Háng Tầu</t>
  </si>
  <si>
    <t>Nâng cấp đường giao thông vào bản Thẩm Trẩu</t>
  </si>
  <si>
    <t>IX</t>
  </si>
  <si>
    <t>Thị xã Mường Lay</t>
  </si>
  <si>
    <t>Đường dây điện và công trình phụ trợ  nhà sinh hoạt cộng đồng phục vụ cho nhân dân bản huổi min</t>
  </si>
  <si>
    <t>Sửa chữa cải tạo một số đoạn đường cục bộ trên tuyến đường lên bản Huổi Min phường Sông Đà</t>
  </si>
  <si>
    <t>Đường giao thông từ  trung tâm xã đến bản Hua Nậm Cản xã Lay Nưa</t>
  </si>
  <si>
    <t>Đường giao thông từ  trung tâm xã đến bản Hua Huổi Luông xã Lay Nưa</t>
  </si>
  <si>
    <t>Đường giao thông bản Huổi Min phường Sông Đà</t>
  </si>
  <si>
    <t>Đường giao thông bản Huổi Min phường Sông Đà (giai đoạn 02)</t>
  </si>
  <si>
    <t>B.32.</t>
  </si>
  <si>
    <t xml:space="preserve"> Chương trình Giảm nghèo bền vững (Chương trình 135 tỷ lệ 10%)</t>
  </si>
  <si>
    <t>Giảm 3654 trđ</t>
  </si>
  <si>
    <t>Giảm 416 trđ</t>
  </si>
  <si>
    <t>Đường giao thông Háng Tàu - Phiêng Páng, xã Sính Phình</t>
  </si>
  <si>
    <t>Xã Sính Phình</t>
  </si>
  <si>
    <t xml:space="preserve"> 2km</t>
  </si>
  <si>
    <t>Đường giao thông nội thôn thôn Bản Phô, xã Trung Thu</t>
  </si>
  <si>
    <t>Xã Trung Thu</t>
  </si>
  <si>
    <t xml:space="preserve"> 1km</t>
  </si>
  <si>
    <t>Đường giao thông nội thôn thôn Háng Pàng  xã Huổi Só</t>
  </si>
  <si>
    <t>Xã Huổi Só</t>
  </si>
  <si>
    <t>GTNT B, 1km</t>
  </si>
  <si>
    <t>Đường giao thông (thôn Háng Sung 2) xuống cánh đồng Chiếu Tính, xã Tả Phìn</t>
  </si>
  <si>
    <t>Xã Tả Phìn</t>
  </si>
  <si>
    <t>GTNT B, 0,85km</t>
  </si>
  <si>
    <t>Giảm 352 trđ</t>
  </si>
  <si>
    <t>Đường từ trung tâm xã Ẳng Cang đi bản Bánh và bản Co En, xã Ẳng Cang</t>
  </si>
  <si>
    <t xml:space="preserve">4,5km; đường GTNT loại B </t>
  </si>
  <si>
    <t>Điện Biên Đông</t>
  </si>
  <si>
    <t>Giảm 640 trđ</t>
  </si>
  <si>
    <t>Nâng cấp đường vào bản Pu Cai xã Pu Nhi</t>
  </si>
  <si>
    <t>Nâng cấp, mở rộng đường giao thông bản Phù Lồng A, C xã Pu Nhi</t>
  </si>
  <si>
    <t>1,2 km</t>
  </si>
  <si>
    <t>Nâng cấp đường giao thông bản Phù Lồng B xã Pu Nhi</t>
  </si>
  <si>
    <t>3,5 km</t>
  </si>
  <si>
    <t>Giảm434 trđ</t>
  </si>
  <si>
    <t>Đường Nậm Tin 3 - Nậm Tin 4 xã Nậm Tin</t>
  </si>
  <si>
    <t>xã Nậm Tin</t>
  </si>
  <si>
    <t>GTNT C; L = 3 km</t>
  </si>
  <si>
    <t>Đường bê tông bản Huổi Lụ 1 xã Nà Khoa</t>
  </si>
  <si>
    <t>xã Nà Khoa</t>
  </si>
  <si>
    <t>GTNT C; L = 1,2 km</t>
  </si>
  <si>
    <t>đ</t>
  </si>
  <si>
    <t>Giảm 355 trđ</t>
  </si>
  <si>
    <t>Đường bê tông ngõ xóm Tổ dân phố 1 + 2, thị trấn Mường Chà</t>
  </si>
  <si>
    <t>thị trấn</t>
  </si>
  <si>
    <t>GTNTC; L = 0,8km</t>
  </si>
  <si>
    <t>Đường giao thông bản Hin 1 - Huổi Loóng, xã Na Sang</t>
  </si>
  <si>
    <t>xã Na Sang</t>
  </si>
  <si>
    <t>GTNT C; L = 4,7km</t>
  </si>
  <si>
    <t>e</t>
  </si>
  <si>
    <t>Giảm 478 trđ</t>
  </si>
  <si>
    <t>Đường giao thông bản Phượn, xã Thanh Yên</t>
  </si>
  <si>
    <t>xã Thanh Yên</t>
  </si>
  <si>
    <t>Tổng chiều dài L=650m, Bn= 4,0m, Bm= 3,5 m</t>
  </si>
  <si>
    <t>Đường bê tông bản Pa Bói 2, xã Thanh Yên</t>
  </si>
  <si>
    <t xml:space="preserve"> L=500m, </t>
  </si>
  <si>
    <t>Sửa chữa nước sinh hoạt bản Na Ha 1,2 , xã Phu Luông</t>
  </si>
  <si>
    <t xml:space="preserve">Sửa chữa đập, tuyến ống </t>
  </si>
  <si>
    <t>Nhà sinh hoạt cộng đồng bản Phiêng Ban xã Nà Tấu</t>
  </si>
  <si>
    <t>xã Nà Tấu</t>
  </si>
  <si>
    <t xml:space="preserve"> xây dựng 118,05m2,</t>
  </si>
  <si>
    <t>Nhà sinh hoạt cộng đồng bản Tà Cáng xã Nà Tấu</t>
  </si>
  <si>
    <t>xây dựng 118,05m2</t>
  </si>
  <si>
    <t>Nhà sinh hoạt cộng đồng bản Nà Cái xã Nà Tấu</t>
  </si>
  <si>
    <t>Xây dựng NSHCĐ 4 gian cấp IV;</t>
  </si>
  <si>
    <t>Nhà sinh hoạt cộng đồng bản Nà Luống xã Nà Tấu</t>
  </si>
  <si>
    <t xml:space="preserve">Xây dựng NSHCĐ 4 gian cấp IV; </t>
  </si>
  <si>
    <t>Đường bê tông bản Hồng Sạt</t>
  </si>
  <si>
    <t>xã Sam Mứn</t>
  </si>
  <si>
    <t>L= 500m</t>
  </si>
  <si>
    <t>Đường bê tông bản Sam Mứn</t>
  </si>
  <si>
    <t>L= 500m, Bn= 3,0 m, Bm= 2,5 m</t>
  </si>
  <si>
    <t>Đường bê tông nội bản Na Lao</t>
  </si>
  <si>
    <t>Đường bê tông nội bản Cang 1</t>
  </si>
  <si>
    <t>Đường bê tông bản Co Mỵ</t>
  </si>
  <si>
    <t>L= 750m, Bn= 3,0 m, Bm= 2,5 m</t>
  </si>
  <si>
    <t>Nhà sinh hoạt cộng đồng bản Huổi Púng</t>
  </si>
  <si>
    <t>xã Thanh An</t>
  </si>
  <si>
    <t xml:space="preserve"> DT xây dựng 118,05m2</t>
  </si>
  <si>
    <t>Nhà sinh hoạt cộng đồng bản Cha</t>
  </si>
  <si>
    <t>Nhà sinh hoạt cộng đồng bản Phiêng Ban</t>
  </si>
  <si>
    <t>Tuyến đường từ cổng nhà ông Ánh Xuân bản Cha đến đường vành đai phía Đông xã Thanh An</t>
  </si>
  <si>
    <t xml:space="preserve">L= 500m, </t>
  </si>
  <si>
    <t>Hạng mục phụ trợ nhà sinh hoạt cộng đồng bản Lún B</t>
  </si>
  <si>
    <t>xã Noong Luống</t>
  </si>
  <si>
    <t xml:space="preserve"> Xây dựng nhà vệ sinh 2 chỗ, </t>
  </si>
  <si>
    <t>Hạng mục phụ trợ nhà sinh hoạt cộng đồng bản On</t>
  </si>
  <si>
    <t xml:space="preserve"> nhà vệ sinh 2 chỗ, cổng, tường bao, sân bê tông</t>
  </si>
  <si>
    <t>f</t>
  </si>
  <si>
    <t>Giảm 336 trđ</t>
  </si>
  <si>
    <t>Cứng hóa đường giao thông nội bản Huổi Pết</t>
  </si>
  <si>
    <t>xã Pá Mỳ</t>
  </si>
  <si>
    <t>L = 500m</t>
  </si>
  <si>
    <t>Đường vào bản Pá Mỳ 3 (Nhóm 2)</t>
  </si>
  <si>
    <t>L = 2,5km</t>
  </si>
  <si>
    <t>h</t>
  </si>
  <si>
    <t>Huyện tuần Giáo</t>
  </si>
  <si>
    <t>Giảm 645 trđ</t>
  </si>
  <si>
    <t>GTNT cấp B, L=4Km</t>
  </si>
  <si>
    <t>Biểu số 2c</t>
  </si>
  <si>
    <t>DANH MỤC DỰ ÁN ĐỀ NGHỊ ĐIỀU CHỈNH KẾ HOẠCH ĐẦU TƯ TRUNG HẠN GIAI ĐOẠN 2016-2020 VỐN CHƯƠNG TRÌNH MỤC TIÊU QUỐC GIA GIẢM NGHÈO NHANH BỀN VỮNG (CHƯƠNG TRÌNH 135)</t>
  </si>
  <si>
    <t>B.3</t>
  </si>
  <si>
    <t xml:space="preserve"> Chương trình Giảm nghèo bền vững (Chương trình 135)</t>
  </si>
  <si>
    <t>Kế hoạch trung hạn giai đoạn 2016-2020</t>
  </si>
  <si>
    <t xml:space="preserve">Kế hoạch trung hạn giai đoạn 2016-2020 </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</si>
</sst>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41" formatCode="_(* #,##0_);_(* \(#,##0\);_(* &quot;-&quot;_);_(@_)"/>
    <numFmt numFmtId="43" formatCode="_(* #,##0.00_);_(* \(#,##0.00\);_(* &quot;-&quot;??_);_(@_)"/>
    <numFmt numFmtId="164" formatCode="_-* #,##0.00\ _₫_-;\-* #,##0.00\ _₫_-;_-* &quot;-&quot;??\ _₫_-;_-@_-"/>
    <numFmt numFmtId="165" formatCode="_(* #,##0_);_(* \(#,##0\);_(* &quot;-&quot;??_);_(@_)"/>
    <numFmt numFmtId="166" formatCode="_(* #,##0.0_);_(* \(#,##0.0\);_(* &quot;-&quot;??_);_(@_)"/>
    <numFmt numFmtId="167" formatCode="#,##0.0"/>
    <numFmt numFmtId="168" formatCode="0.0"/>
    <numFmt numFmtId="169" formatCode="#,##0.000"/>
    <numFmt numFmtId="170" formatCode="0.000"/>
    <numFmt numFmtId="171" formatCode="_-* #,##0\ _₫_-;\-* #,##0\ _₫_-;_-* &quot;-&quot;??\ _₫_-;_-@_-"/>
    <numFmt numFmtId="172" formatCode="_-* #,##0.0\ _₫_-;\-* #,##0.0\ _₫_-;_-* &quot;-&quot;??\ _₫_-;_-@_-"/>
  </numFmts>
  <fonts count="78" x14ac:knownFonts="1">
    <font>
      <sz val="11"/>
      <color theme="1"/>
      <name val="Calibri"/>
      <family val="2"/>
      <charset val="163"/>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charset val="163"/>
      <scheme val="minor"/>
    </font>
    <font>
      <sz val="10"/>
      <name val="Arial"/>
      <family val="2"/>
    </font>
    <font>
      <b/>
      <i/>
      <sz val="12"/>
      <name val="Times New Roman"/>
      <family val="1"/>
      <charset val="163"/>
    </font>
    <font>
      <sz val="12"/>
      <name val="Times New Roman"/>
      <family val="1"/>
    </font>
    <font>
      <b/>
      <sz val="12"/>
      <name val="Times New Roman"/>
      <family val="1"/>
      <charset val="163"/>
    </font>
    <font>
      <b/>
      <sz val="14"/>
      <name val="Times New Roman"/>
      <family val="1"/>
    </font>
    <font>
      <sz val="14"/>
      <name val="Times New Roman"/>
      <family val="1"/>
    </font>
    <font>
      <i/>
      <sz val="14"/>
      <name val="Times New Roman"/>
      <family val="1"/>
    </font>
    <font>
      <i/>
      <sz val="12"/>
      <name val="Times New Roman"/>
      <family val="1"/>
    </font>
    <font>
      <sz val="11.5"/>
      <name val="Times New Roman"/>
      <family val="1"/>
    </font>
    <font>
      <vertAlign val="superscript"/>
      <sz val="11.5"/>
      <name val="Times New Roman"/>
      <family val="1"/>
    </font>
    <font>
      <sz val="10"/>
      <name val="Times New Roman"/>
      <family val="1"/>
      <charset val="163"/>
    </font>
    <font>
      <sz val="11.5"/>
      <name val="Times New Roman"/>
      <family val="1"/>
      <charset val="163"/>
    </font>
    <font>
      <b/>
      <sz val="11.5"/>
      <name val="Times New Roman"/>
      <family val="1"/>
      <charset val="163"/>
    </font>
    <font>
      <i/>
      <sz val="11.5"/>
      <name val="Times New Roman"/>
      <family val="1"/>
    </font>
    <font>
      <sz val="10"/>
      <name val="Times New Roman"/>
      <family val="1"/>
    </font>
    <font>
      <b/>
      <sz val="12"/>
      <name val="Times New Roman"/>
      <family val="1"/>
    </font>
    <font>
      <sz val="11"/>
      <color indexed="8"/>
      <name val="Calibri"/>
      <family val="2"/>
    </font>
    <font>
      <b/>
      <sz val="11.5"/>
      <name val="Times New Roman"/>
      <family val="1"/>
    </font>
    <font>
      <sz val="11"/>
      <color theme="1"/>
      <name val="Calibri"/>
      <family val="2"/>
      <scheme val="minor"/>
    </font>
    <font>
      <sz val="11"/>
      <name val="Times New Roman"/>
      <family val="1"/>
    </font>
    <font>
      <sz val="10"/>
      <name val="Helv"/>
      <family val="2"/>
    </font>
    <font>
      <sz val="11"/>
      <color theme="1"/>
      <name val="Arial"/>
      <family val="2"/>
      <charset val="163"/>
    </font>
    <font>
      <sz val="10"/>
      <name val=".vntime"/>
      <family val="2"/>
    </font>
    <font>
      <sz val="12"/>
      <name val=".VnTime"/>
      <family val="2"/>
    </font>
    <font>
      <sz val="10"/>
      <color indexed="8"/>
      <name val="MS Sans Serif"/>
      <family val="2"/>
    </font>
    <font>
      <sz val="14"/>
      <name val="Times New Roman"/>
      <family val="1"/>
      <charset val="163"/>
    </font>
    <font>
      <sz val="12"/>
      <name val="Times New Roman"/>
      <family val="1"/>
      <charset val="163"/>
    </font>
    <font>
      <sz val="10"/>
      <name val="Arial"/>
      <family val="2"/>
      <charset val="163"/>
    </font>
    <font>
      <b/>
      <i/>
      <sz val="12"/>
      <name val="Times New Roman"/>
      <family val="1"/>
    </font>
    <font>
      <b/>
      <sz val="10"/>
      <name val="Times New Roman"/>
      <family val="1"/>
    </font>
    <font>
      <sz val="11"/>
      <color indexed="8"/>
      <name val="Arial"/>
      <family val="2"/>
      <charset val="163"/>
    </font>
    <font>
      <b/>
      <u/>
      <sz val="12"/>
      <name val="Times New Roman"/>
      <family val="1"/>
    </font>
    <font>
      <u/>
      <sz val="12"/>
      <name val="Times New Roman"/>
      <family val="1"/>
    </font>
    <font>
      <sz val="12"/>
      <color rgb="FFFF0000"/>
      <name val="Times New Roman"/>
      <family val="1"/>
    </font>
    <font>
      <b/>
      <sz val="12"/>
      <color rgb="FFFF0000"/>
      <name val="Times New Roman"/>
      <family val="1"/>
    </font>
    <font>
      <b/>
      <i/>
      <sz val="12"/>
      <color rgb="FFFF0000"/>
      <name val="Times New Roman"/>
      <family val="1"/>
    </font>
    <font>
      <sz val="12"/>
      <color rgb="FFFF0000"/>
      <name val="Times New Roman"/>
      <family val="1"/>
      <charset val="163"/>
    </font>
    <font>
      <sz val="12"/>
      <name val="Cambria"/>
      <family val="1"/>
      <scheme val="major"/>
    </font>
    <font>
      <b/>
      <sz val="12"/>
      <color rgb="FFFF0000"/>
      <name val="Times New Roman"/>
      <family val="1"/>
      <charset val="163"/>
    </font>
    <font>
      <sz val="13"/>
      <name val="Times New Roman"/>
      <family val="1"/>
    </font>
    <font>
      <sz val="11"/>
      <name val="Times New Roman"/>
      <family val="1"/>
      <charset val="163"/>
    </font>
    <font>
      <sz val="11"/>
      <color rgb="FFFF0000"/>
      <name val="Times New Roman"/>
      <family val="1"/>
    </font>
    <font>
      <b/>
      <sz val="11.5"/>
      <color rgb="FFFF0000"/>
      <name val="Times New Roman"/>
      <family val="1"/>
    </font>
    <font>
      <b/>
      <sz val="10"/>
      <color rgb="FFFF0000"/>
      <name val="Times New Roman"/>
      <family val="1"/>
    </font>
    <font>
      <sz val="12"/>
      <name val="Cambria"/>
      <family val="1"/>
      <charset val="163"/>
      <scheme val="major"/>
    </font>
    <font>
      <b/>
      <i/>
      <sz val="12"/>
      <name val="Cambria"/>
      <family val="1"/>
      <charset val="163"/>
      <scheme val="major"/>
    </font>
    <font>
      <sz val="14"/>
      <name val="Cambria"/>
      <family val="1"/>
      <charset val="163"/>
      <scheme val="major"/>
    </font>
    <font>
      <sz val="11.5"/>
      <color rgb="FFFF0000"/>
      <name val="Times New Roman"/>
      <family val="1"/>
    </font>
    <font>
      <sz val="10"/>
      <color rgb="FFFF0000"/>
      <name val="Times New Roman"/>
      <family val="1"/>
    </font>
    <font>
      <b/>
      <i/>
      <sz val="11.5"/>
      <name val="Times New Roman"/>
      <family val="1"/>
    </font>
    <font>
      <b/>
      <i/>
      <sz val="10"/>
      <name val="Times New Roman"/>
      <family val="1"/>
    </font>
    <font>
      <vertAlign val="superscript"/>
      <sz val="12"/>
      <name val="Times New Roman"/>
      <family val="1"/>
    </font>
    <font>
      <b/>
      <sz val="12"/>
      <color theme="1"/>
      <name val="Times New Roman"/>
      <family val="1"/>
    </font>
    <font>
      <b/>
      <i/>
      <sz val="12"/>
      <color theme="1"/>
      <name val="Times New Roman"/>
      <family val="1"/>
    </font>
    <font>
      <sz val="12"/>
      <color theme="1"/>
      <name val="Times New Roman"/>
      <family val="1"/>
    </font>
    <font>
      <i/>
      <sz val="12"/>
      <color theme="1"/>
      <name val="Times New Roman"/>
      <family val="1"/>
    </font>
    <font>
      <i/>
      <sz val="12"/>
      <color rgb="FFFF0000"/>
      <name val="Times New Roman"/>
      <family val="1"/>
    </font>
    <font>
      <i/>
      <sz val="12"/>
      <color rgb="FFFF0000"/>
      <name val="Times New Roman"/>
      <family val="1"/>
      <charset val="163"/>
    </font>
    <font>
      <vertAlign val="superscript"/>
      <sz val="12"/>
      <color theme="1"/>
      <name val="Times New Roman"/>
      <family val="1"/>
    </font>
    <font>
      <i/>
      <sz val="12"/>
      <name val="Times New Roman"/>
      <family val="1"/>
      <charset val="163"/>
    </font>
    <font>
      <b/>
      <i/>
      <sz val="12"/>
      <color theme="1"/>
      <name val="Times New Roman"/>
      <family val="1"/>
      <charset val="163"/>
    </font>
    <font>
      <sz val="12"/>
      <color theme="1"/>
      <name val="Times New Roman"/>
      <family val="1"/>
      <charset val="163"/>
    </font>
    <font>
      <b/>
      <sz val="12"/>
      <color theme="1"/>
      <name val="Times New Roman"/>
      <family val="1"/>
      <charset val="163"/>
    </font>
    <font>
      <i/>
      <sz val="12"/>
      <color theme="1"/>
      <name val="Times New Roman"/>
      <family val="1"/>
      <charset val="163"/>
    </font>
    <font>
      <sz val="12"/>
      <color theme="1"/>
      <name val="Calibri"/>
      <family val="2"/>
      <scheme val="minor"/>
    </font>
    <font>
      <sz val="13"/>
      <color theme="1"/>
      <name val="Times New Roman"/>
      <family val="1"/>
    </font>
    <font>
      <sz val="11"/>
      <color theme="1"/>
      <name val="Arial"/>
      <family val="2"/>
    </font>
    <font>
      <sz val="14"/>
      <color theme="1"/>
      <name val="Times New Roman"/>
      <family val="1"/>
      <charset val="163"/>
    </font>
    <font>
      <sz val="13"/>
      <color rgb="FF7030A0"/>
      <name val="Times New Roman"/>
      <family val="1"/>
    </font>
    <font>
      <sz val="12"/>
      <color rgb="FF7030A0"/>
      <name val="Times New Roman"/>
      <family val="1"/>
    </font>
    <font>
      <b/>
      <sz val="13"/>
      <color rgb="FF7030A0"/>
      <name val="Times New Roman"/>
      <family val="1"/>
    </font>
    <font>
      <b/>
      <sz val="10"/>
      <color theme="1"/>
      <name val="Times New Roman"/>
      <family val="1"/>
    </font>
  </fonts>
  <fills count="13">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00B050"/>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9" tint="0.59999389629810485"/>
        <bgColor indexed="64"/>
      </patternFill>
    </fill>
    <fill>
      <patternFill patternType="solid">
        <fgColor rgb="FF92D050"/>
        <bgColor indexed="64"/>
      </patternFill>
    </fill>
    <fill>
      <patternFill patternType="solid">
        <fgColor theme="0"/>
        <bgColor indexed="11"/>
      </patternFill>
    </fill>
    <fill>
      <patternFill patternType="solid">
        <fgColor rgb="FFFFC000"/>
        <bgColor indexed="64"/>
      </patternFill>
    </fill>
  </fills>
  <borders count="1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top/>
      <bottom/>
      <diagonal/>
    </border>
  </borders>
  <cellStyleXfs count="42">
    <xf numFmtId="0" fontId="0" fillId="0" borderId="0"/>
    <xf numFmtId="164" fontId="5" fillId="0" borderId="0" applyFont="0" applyFill="0" applyBorder="0" applyAlignment="0" applyProtection="0"/>
    <xf numFmtId="0" fontId="6" fillId="0" borderId="0"/>
    <xf numFmtId="43" fontId="22" fillId="0" borderId="0" applyFont="0" applyFill="0" applyBorder="0" applyAlignment="0" applyProtection="0"/>
    <xf numFmtId="0" fontId="16" fillId="0" borderId="0"/>
    <xf numFmtId="0" fontId="6" fillId="0" borderId="0"/>
    <xf numFmtId="43" fontId="24" fillId="0" borderId="0" applyFont="0" applyFill="0" applyBorder="0" applyAlignment="0" applyProtection="0"/>
    <xf numFmtId="43" fontId="8" fillId="0" borderId="0" applyFont="0" applyFill="0" applyBorder="0" applyAlignment="0" applyProtection="0"/>
    <xf numFmtId="0" fontId="6" fillId="0" borderId="0"/>
    <xf numFmtId="0" fontId="26" fillId="0" borderId="0"/>
    <xf numFmtId="0" fontId="27" fillId="0" borderId="0"/>
    <xf numFmtId="0" fontId="6" fillId="0" borderId="0"/>
    <xf numFmtId="0" fontId="28" fillId="0" borderId="0" applyNumberFormat="0" applyFill="0" applyBorder="0" applyAlignment="0" applyProtection="0"/>
    <xf numFmtId="0" fontId="26" fillId="0" borderId="0"/>
    <xf numFmtId="0" fontId="29" fillId="0" borderId="0"/>
    <xf numFmtId="0" fontId="30" fillId="0" borderId="0"/>
    <xf numFmtId="0" fontId="8" fillId="0" borderId="0"/>
    <xf numFmtId="0" fontId="22" fillId="0" borderId="0"/>
    <xf numFmtId="43" fontId="31" fillId="0" borderId="0" applyFont="0" applyFill="0" applyBorder="0" applyAlignment="0" applyProtection="0"/>
    <xf numFmtId="0" fontId="22" fillId="0" borderId="0"/>
    <xf numFmtId="0" fontId="6" fillId="0" borderId="0"/>
    <xf numFmtId="0" fontId="33" fillId="0" borderId="0"/>
    <xf numFmtId="0" fontId="22" fillId="0" borderId="0"/>
    <xf numFmtId="0" fontId="6" fillId="0" borderId="0"/>
    <xf numFmtId="0" fontId="6" fillId="0" borderId="0"/>
    <xf numFmtId="0" fontId="29" fillId="0" borderId="0"/>
    <xf numFmtId="0" fontId="6" fillId="0" borderId="0"/>
    <xf numFmtId="0" fontId="6" fillId="0" borderId="0"/>
    <xf numFmtId="0" fontId="33" fillId="0" borderId="0"/>
    <xf numFmtId="43" fontId="22" fillId="0" borderId="0" applyFont="0" applyFill="0" applyBorder="0" applyAlignment="0" applyProtection="0"/>
    <xf numFmtId="164" fontId="36" fillId="0" borderId="0" applyFont="0" applyFill="0" applyBorder="0" applyAlignment="0" applyProtection="0"/>
    <xf numFmtId="0" fontId="33" fillId="0" borderId="0"/>
    <xf numFmtId="43" fontId="22" fillId="0" borderId="0" applyFont="0" applyFill="0" applyBorder="0" applyAlignment="0" applyProtection="0"/>
    <xf numFmtId="43" fontId="4" fillId="0" borderId="0" applyFont="0" applyFill="0" applyBorder="0" applyAlignment="0" applyProtection="0"/>
    <xf numFmtId="43" fontId="6" fillId="0" borderId="0" applyFont="0" applyFill="0" applyBorder="0" applyAlignment="0" applyProtection="0"/>
    <xf numFmtId="0" fontId="8" fillId="0" borderId="0"/>
    <xf numFmtId="43" fontId="3" fillId="0" borderId="0" applyFont="0" applyFill="0" applyBorder="0" applyAlignment="0" applyProtection="0"/>
    <xf numFmtId="0" fontId="72" fillId="0" borderId="0"/>
    <xf numFmtId="0" fontId="27" fillId="0" borderId="0"/>
    <xf numFmtId="0" fontId="22" fillId="0" borderId="0" applyFill="0" applyProtection="0"/>
    <xf numFmtId="43" fontId="2" fillId="0" borderId="0" applyFont="0" applyFill="0" applyBorder="0" applyAlignment="0" applyProtection="0"/>
    <xf numFmtId="43" fontId="1" fillId="0" borderId="0" applyFont="0" applyFill="0" applyBorder="0" applyAlignment="0" applyProtection="0"/>
  </cellStyleXfs>
  <cellXfs count="884">
    <xf numFmtId="0" fontId="0" fillId="0" borderId="0" xfId="0"/>
    <xf numFmtId="3" fontId="39" fillId="2" borderId="2" xfId="2" quotePrefix="1" applyNumberFormat="1" applyFont="1" applyFill="1" applyBorder="1" applyAlignment="1">
      <alignment horizontal="center" vertical="center" wrapText="1"/>
    </xf>
    <xf numFmtId="167" fontId="8" fillId="2" borderId="2" xfId="2" quotePrefix="1" applyNumberFormat="1" applyFont="1" applyFill="1" applyBorder="1" applyAlignment="1">
      <alignment horizontal="right" vertical="center" wrapText="1"/>
    </xf>
    <xf numFmtId="1" fontId="21" fillId="2" borderId="2" xfId="13" quotePrefix="1" applyNumberFormat="1" applyFont="1" applyFill="1" applyBorder="1" applyAlignment="1">
      <alignment horizontal="center" vertical="center" wrapText="1"/>
    </xf>
    <xf numFmtId="0" fontId="34" fillId="2" borderId="2" xfId="13" applyFont="1" applyFill="1" applyBorder="1" applyAlignment="1">
      <alignment horizontal="justify" vertical="center" wrapText="1"/>
    </xf>
    <xf numFmtId="0" fontId="8" fillId="2" borderId="2" xfId="0" applyFont="1" applyFill="1" applyBorder="1" applyAlignment="1">
      <alignment horizontal="center" vertical="center" wrapText="1"/>
    </xf>
    <xf numFmtId="3" fontId="8" fillId="2" borderId="2" xfId="10" applyNumberFormat="1" applyFont="1" applyFill="1" applyBorder="1" applyAlignment="1">
      <alignment horizontal="center" vertical="center" wrapText="1"/>
    </xf>
    <xf numFmtId="0" fontId="8" fillId="2" borderId="2" xfId="16" applyFont="1" applyFill="1" applyBorder="1" applyAlignment="1">
      <alignment horizontal="center" vertical="center" wrapText="1"/>
    </xf>
    <xf numFmtId="166" fontId="7" fillId="2" borderId="2" xfId="1" quotePrefix="1" applyNumberFormat="1" applyFont="1" applyFill="1" applyBorder="1" applyAlignment="1">
      <alignment horizontal="center" vertical="center" wrapText="1"/>
    </xf>
    <xf numFmtId="166" fontId="8" fillId="2" borderId="2" xfId="1" quotePrefix="1" applyNumberFormat="1" applyFont="1" applyFill="1" applyBorder="1" applyAlignment="1">
      <alignment horizontal="center" vertical="center" wrapText="1"/>
    </xf>
    <xf numFmtId="1" fontId="32" fillId="2" borderId="2" xfId="2" applyNumberFormat="1" applyFont="1" applyFill="1" applyBorder="1" applyAlignment="1">
      <alignment horizontal="center" vertical="center" wrapText="1"/>
    </xf>
    <xf numFmtId="1" fontId="8" fillId="2" borderId="0" xfId="2" applyNumberFormat="1" applyFont="1" applyFill="1" applyBorder="1" applyAlignment="1">
      <alignment vertical="center" wrapText="1"/>
    </xf>
    <xf numFmtId="1" fontId="21" fillId="2" borderId="0" xfId="2" applyNumberFormat="1" applyFont="1" applyFill="1" applyBorder="1" applyAlignment="1">
      <alignment vertical="center" wrapText="1"/>
    </xf>
    <xf numFmtId="1" fontId="21" fillId="2" borderId="2" xfId="2" applyNumberFormat="1" applyFont="1" applyFill="1" applyBorder="1" applyAlignment="1">
      <alignment vertical="center"/>
    </xf>
    <xf numFmtId="1" fontId="21" fillId="2" borderId="0" xfId="2" applyNumberFormat="1" applyFont="1" applyFill="1" applyAlignment="1">
      <alignment vertical="center"/>
    </xf>
    <xf numFmtId="1" fontId="8" fillId="2" borderId="2" xfId="13" applyNumberFormat="1" applyFont="1" applyFill="1" applyBorder="1" applyAlignment="1">
      <alignment horizontal="center" vertical="center"/>
    </xf>
    <xf numFmtId="0" fontId="8" fillId="2" borderId="2" xfId="0" applyFont="1" applyFill="1" applyBorder="1" applyAlignment="1">
      <alignment horizontal="left" vertical="center" wrapText="1"/>
    </xf>
    <xf numFmtId="166" fontId="8" fillId="2" borderId="2" xfId="1" quotePrefix="1" applyNumberFormat="1" applyFont="1" applyFill="1" applyBorder="1" applyAlignment="1">
      <alignment horizontal="right" vertical="center" wrapText="1"/>
    </xf>
    <xf numFmtId="166" fontId="34" fillId="2" borderId="2" xfId="1" quotePrefix="1" applyNumberFormat="1" applyFont="1" applyFill="1" applyBorder="1" applyAlignment="1">
      <alignment vertical="center" wrapText="1"/>
    </xf>
    <xf numFmtId="1" fontId="8" fillId="2" borderId="0" xfId="2" applyNumberFormat="1" applyFont="1" applyFill="1" applyBorder="1" applyAlignment="1">
      <alignment horizontal="center" vertical="center" wrapText="1"/>
    </xf>
    <xf numFmtId="1" fontId="39" fillId="2" borderId="2" xfId="13" applyNumberFormat="1" applyFont="1" applyFill="1" applyBorder="1" applyAlignment="1">
      <alignment horizontal="center" vertical="center"/>
    </xf>
    <xf numFmtId="0" fontId="39" fillId="2" borderId="2" xfId="0" applyFont="1" applyFill="1" applyBorder="1" applyAlignment="1">
      <alignment horizontal="left" vertical="center" wrapText="1"/>
    </xf>
    <xf numFmtId="0" fontId="39" fillId="2" borderId="2" xfId="0" applyFont="1" applyFill="1" applyBorder="1" applyAlignment="1">
      <alignment horizontal="center" vertical="center" wrapText="1"/>
    </xf>
    <xf numFmtId="3" fontId="39" fillId="2" borderId="2" xfId="10" applyNumberFormat="1" applyFont="1" applyFill="1" applyBorder="1" applyAlignment="1">
      <alignment horizontal="center" vertical="center" wrapText="1"/>
    </xf>
    <xf numFmtId="0" fontId="39" fillId="2" borderId="2" xfId="16" quotePrefix="1" applyFont="1" applyFill="1" applyBorder="1" applyAlignment="1">
      <alignment horizontal="center" vertical="center" wrapText="1"/>
    </xf>
    <xf numFmtId="1" fontId="39" fillId="2" borderId="2" xfId="2" applyNumberFormat="1" applyFont="1" applyFill="1" applyBorder="1" applyAlignment="1">
      <alignment horizontal="center" vertical="center" wrapText="1"/>
    </xf>
    <xf numFmtId="166" fontId="39" fillId="2" borderId="2" xfId="1" quotePrefix="1" applyNumberFormat="1" applyFont="1" applyFill="1" applyBorder="1" applyAlignment="1">
      <alignment horizontal="right" vertical="center" wrapText="1"/>
    </xf>
    <xf numFmtId="166" fontId="41" fillId="2" borderId="2" xfId="1" quotePrefix="1" applyNumberFormat="1" applyFont="1" applyFill="1" applyBorder="1" applyAlignment="1">
      <alignment vertical="center" wrapText="1"/>
    </xf>
    <xf numFmtId="166" fontId="39" fillId="2" borderId="2" xfId="1" quotePrefix="1" applyNumberFormat="1" applyFont="1" applyFill="1" applyBorder="1" applyAlignment="1">
      <alignment horizontal="center" vertical="center" wrapText="1"/>
    </xf>
    <xf numFmtId="1" fontId="39" fillId="2" borderId="0" xfId="2" applyNumberFormat="1" applyFont="1" applyFill="1" applyBorder="1" applyAlignment="1">
      <alignment horizontal="center" vertical="center" wrapText="1"/>
    </xf>
    <xf numFmtId="1" fontId="40" fillId="2" borderId="0" xfId="2" applyNumberFormat="1" applyFont="1" applyFill="1" applyBorder="1" applyAlignment="1">
      <alignment vertical="center" wrapText="1"/>
    </xf>
    <xf numFmtId="1" fontId="40" fillId="2" borderId="2" xfId="2" applyNumberFormat="1" applyFont="1" applyFill="1" applyBorder="1" applyAlignment="1">
      <alignment vertical="center"/>
    </xf>
    <xf numFmtId="1" fontId="40" fillId="2" borderId="0" xfId="2" applyNumberFormat="1" applyFont="1" applyFill="1" applyAlignment="1">
      <alignment vertical="center"/>
    </xf>
    <xf numFmtId="167" fontId="39" fillId="2" borderId="2" xfId="2" quotePrefix="1" applyNumberFormat="1" applyFont="1" applyFill="1" applyBorder="1" applyAlignment="1">
      <alignment horizontal="right" vertical="center" wrapText="1"/>
    </xf>
    <xf numFmtId="1" fontId="9" fillId="2" borderId="2" xfId="13" quotePrefix="1" applyNumberFormat="1" applyFont="1" applyFill="1" applyBorder="1" applyAlignment="1">
      <alignment horizontal="center" vertical="center" wrapText="1"/>
    </xf>
    <xf numFmtId="0" fontId="7" fillId="2" borderId="2" xfId="13" applyFont="1" applyFill="1" applyBorder="1" applyAlignment="1">
      <alignment horizontal="justify" vertical="center" wrapText="1"/>
    </xf>
    <xf numFmtId="0" fontId="8" fillId="2" borderId="2" xfId="20" applyFont="1" applyFill="1" applyBorder="1" applyAlignment="1">
      <alignment horizontal="center" vertical="center" wrapText="1"/>
    </xf>
    <xf numFmtId="166" fontId="21" fillId="2" borderId="2" xfId="1" applyNumberFormat="1" applyFont="1" applyFill="1" applyBorder="1" applyAlignment="1">
      <alignment horizontal="right" vertical="center"/>
    </xf>
    <xf numFmtId="166" fontId="21" fillId="2" borderId="2" xfId="1" quotePrefix="1" applyNumberFormat="1" applyFont="1" applyFill="1" applyBorder="1" applyAlignment="1">
      <alignment horizontal="right" vertical="center" wrapText="1"/>
    </xf>
    <xf numFmtId="3" fontId="8" fillId="2" borderId="2" xfId="20" applyNumberFormat="1" applyFont="1" applyFill="1" applyBorder="1" applyAlignment="1">
      <alignment horizontal="center" vertical="center" wrapText="1"/>
    </xf>
    <xf numFmtId="0" fontId="8" fillId="2" borderId="2" xfId="20" applyFont="1" applyFill="1" applyBorder="1" applyAlignment="1">
      <alignment horizontal="left" vertical="center" wrapText="1"/>
    </xf>
    <xf numFmtId="1" fontId="8" fillId="2" borderId="2" xfId="2" applyNumberFormat="1" applyFont="1" applyFill="1" applyBorder="1" applyAlignment="1">
      <alignment horizontal="center" vertical="center" wrapText="1"/>
    </xf>
    <xf numFmtId="167" fontId="32" fillId="2" borderId="2" xfId="2" quotePrefix="1" applyNumberFormat="1" applyFont="1" applyFill="1" applyBorder="1" applyAlignment="1">
      <alignment horizontal="right" vertical="center" wrapText="1"/>
    </xf>
    <xf numFmtId="166" fontId="8" fillId="2" borderId="2" xfId="1" applyNumberFormat="1" applyFont="1" applyFill="1" applyBorder="1" applyAlignment="1">
      <alignment horizontal="right" vertical="center" wrapText="1"/>
    </xf>
    <xf numFmtId="166" fontId="8" fillId="2" borderId="2" xfId="1" quotePrefix="1" applyNumberFormat="1" applyFont="1" applyFill="1" applyBorder="1" applyAlignment="1">
      <alignment vertical="center" wrapText="1"/>
    </xf>
    <xf numFmtId="166" fontId="8" fillId="2" borderId="6" xfId="1" quotePrefix="1" applyNumberFormat="1" applyFont="1" applyFill="1" applyBorder="1" applyAlignment="1">
      <alignment horizontal="right" vertical="center" wrapText="1"/>
    </xf>
    <xf numFmtId="1" fontId="32" fillId="2" borderId="6" xfId="2" applyNumberFormat="1" applyFont="1" applyFill="1" applyBorder="1" applyAlignment="1">
      <alignment horizontal="center" vertical="center" wrapText="1"/>
    </xf>
    <xf numFmtId="1" fontId="21" fillId="2" borderId="10" xfId="2" applyNumberFormat="1" applyFont="1" applyFill="1" applyBorder="1" applyAlignment="1">
      <alignment vertical="center"/>
    </xf>
    <xf numFmtId="1" fontId="21" fillId="2" borderId="11" xfId="2" applyNumberFormat="1" applyFont="1" applyFill="1" applyBorder="1" applyAlignment="1">
      <alignment vertical="center"/>
    </xf>
    <xf numFmtId="0" fontId="8" fillId="2" borderId="2" xfId="10" applyFont="1" applyFill="1" applyBorder="1" applyAlignment="1">
      <alignment horizontal="center" vertical="center"/>
    </xf>
    <xf numFmtId="0" fontId="8" fillId="2" borderId="2" xfId="10" quotePrefix="1" applyFont="1" applyFill="1" applyBorder="1" applyAlignment="1">
      <alignment vertical="center" wrapText="1" shrinkToFit="1"/>
    </xf>
    <xf numFmtId="0" fontId="8" fillId="2" borderId="2" xfId="10" applyFont="1" applyFill="1" applyBorder="1" applyAlignment="1">
      <alignment horizontal="center" vertical="center" wrapText="1"/>
    </xf>
    <xf numFmtId="3" fontId="8" fillId="2" borderId="2" xfId="19" applyNumberFormat="1" applyFont="1" applyFill="1" applyBorder="1" applyAlignment="1">
      <alignment horizontal="center" vertical="center" wrapText="1"/>
    </xf>
    <xf numFmtId="166" fontId="8" fillId="2" borderId="2" xfId="3" applyNumberFormat="1" applyFont="1" applyFill="1" applyBorder="1" applyAlignment="1">
      <alignment horizontal="right" vertical="center"/>
    </xf>
    <xf numFmtId="166" fontId="21" fillId="2" borderId="2" xfId="3" applyNumberFormat="1" applyFont="1" applyFill="1" applyBorder="1" applyAlignment="1">
      <alignment horizontal="right" vertical="center"/>
    </xf>
    <xf numFmtId="166" fontId="8" fillId="2" borderId="2" xfId="3" quotePrefix="1" applyNumberFormat="1" applyFont="1" applyFill="1" applyBorder="1" applyAlignment="1">
      <alignment horizontal="right" vertical="center" wrapText="1"/>
    </xf>
    <xf numFmtId="166" fontId="8" fillId="2" borderId="2" xfId="3" quotePrefix="1" applyNumberFormat="1" applyFont="1" applyFill="1" applyBorder="1" applyAlignment="1">
      <alignment vertical="center" wrapText="1"/>
    </xf>
    <xf numFmtId="1" fontId="21" fillId="2" borderId="2" xfId="2" applyNumberFormat="1" applyFont="1" applyFill="1" applyBorder="1" applyAlignment="1">
      <alignment horizontal="center" vertical="center" wrapText="1"/>
    </xf>
    <xf numFmtId="0" fontId="21" fillId="2" borderId="2" xfId="10" applyFont="1" applyFill="1" applyBorder="1" applyAlignment="1">
      <alignment horizontal="center" vertical="center" wrapText="1"/>
    </xf>
    <xf numFmtId="3" fontId="21" fillId="2" borderId="2" xfId="10" applyNumberFormat="1" applyFont="1" applyFill="1" applyBorder="1" applyAlignment="1">
      <alignment horizontal="center" vertical="center"/>
    </xf>
    <xf numFmtId="166" fontId="21" fillId="2" borderId="0" xfId="1" applyNumberFormat="1" applyFont="1" applyFill="1" applyBorder="1" applyAlignment="1">
      <alignment horizontal="right" vertical="center"/>
    </xf>
    <xf numFmtId="1" fontId="9" fillId="2" borderId="0" xfId="2" applyNumberFormat="1" applyFont="1" applyFill="1" applyAlignment="1">
      <alignment horizontal="center" vertical="center"/>
    </xf>
    <xf numFmtId="1" fontId="8" fillId="2" borderId="14" xfId="2" applyNumberFormat="1" applyFont="1" applyFill="1" applyBorder="1" applyAlignment="1">
      <alignment horizontal="center" vertical="center" wrapText="1"/>
    </xf>
    <xf numFmtId="1" fontId="8" fillId="2" borderId="2" xfId="2" quotePrefix="1" applyNumberFormat="1" applyFont="1" applyFill="1" applyBorder="1" applyAlignment="1">
      <alignment horizontal="center" vertical="center" wrapText="1"/>
    </xf>
    <xf numFmtId="166" fontId="8" fillId="2" borderId="2" xfId="0" applyNumberFormat="1" applyFont="1" applyFill="1" applyBorder="1" applyAlignment="1">
      <alignment horizontal="right" vertical="center" wrapText="1"/>
    </xf>
    <xf numFmtId="166" fontId="8" fillId="2" borderId="2" xfId="1" applyNumberFormat="1" applyFont="1" applyFill="1" applyBorder="1" applyAlignment="1">
      <alignment horizontal="right" vertical="center"/>
    </xf>
    <xf numFmtId="0" fontId="8" fillId="2" borderId="2" xfId="27" applyFont="1" applyFill="1" applyBorder="1" applyAlignment="1">
      <alignment horizontal="justify" vertical="center" wrapText="1"/>
    </xf>
    <xf numFmtId="3" fontId="8" fillId="2" borderId="0" xfId="10" applyNumberFormat="1" applyFont="1" applyFill="1" applyBorder="1" applyAlignment="1">
      <alignment horizontal="center" vertical="center" wrapText="1"/>
    </xf>
    <xf numFmtId="1" fontId="21" fillId="2" borderId="0" xfId="2" applyNumberFormat="1" applyFont="1" applyFill="1" applyBorder="1" applyAlignment="1">
      <alignment vertical="center"/>
    </xf>
    <xf numFmtId="0" fontId="41" fillId="2" borderId="2" xfId="10" applyFont="1" applyFill="1" applyBorder="1" applyAlignment="1">
      <alignment horizontal="center" vertical="center"/>
    </xf>
    <xf numFmtId="1" fontId="41" fillId="2" borderId="2" xfId="2" applyNumberFormat="1" applyFont="1" applyFill="1" applyBorder="1" applyAlignment="1">
      <alignment vertical="center" wrapText="1"/>
    </xf>
    <xf numFmtId="1" fontId="41" fillId="2" borderId="2" xfId="2" applyNumberFormat="1" applyFont="1" applyFill="1" applyBorder="1" applyAlignment="1">
      <alignment horizontal="center" vertical="center" wrapText="1"/>
    </xf>
    <xf numFmtId="166" fontId="41" fillId="2" borderId="2" xfId="3" applyNumberFormat="1" applyFont="1" applyFill="1" applyBorder="1" applyAlignment="1">
      <alignment horizontal="right" vertical="center"/>
    </xf>
    <xf numFmtId="1" fontId="41" fillId="2" borderId="0" xfId="2" applyNumberFormat="1" applyFont="1" applyFill="1" applyAlignment="1">
      <alignment vertical="center"/>
    </xf>
    <xf numFmtId="1" fontId="8" fillId="2" borderId="2" xfId="2" applyNumberFormat="1" applyFont="1" applyFill="1" applyBorder="1" applyAlignment="1">
      <alignment vertical="center" wrapText="1"/>
    </xf>
    <xf numFmtId="41" fontId="8" fillId="2" borderId="2" xfId="10" applyNumberFormat="1" applyFont="1" applyFill="1" applyBorder="1" applyAlignment="1">
      <alignment horizontal="center" vertical="center" wrapText="1"/>
    </xf>
    <xf numFmtId="166" fontId="21" fillId="2" borderId="2" xfId="3" quotePrefix="1" applyNumberFormat="1" applyFont="1" applyFill="1" applyBorder="1" applyAlignment="1">
      <alignment horizontal="right" vertical="center" wrapText="1"/>
    </xf>
    <xf numFmtId="166" fontId="21" fillId="2" borderId="2" xfId="3" quotePrefix="1" applyNumberFormat="1" applyFont="1" applyFill="1" applyBorder="1" applyAlignment="1">
      <alignment vertical="center" wrapText="1"/>
    </xf>
    <xf numFmtId="165" fontId="21" fillId="2" borderId="2" xfId="3" quotePrefix="1" applyNumberFormat="1" applyFont="1" applyFill="1" applyBorder="1" applyAlignment="1">
      <alignment horizontal="right" vertical="center" wrapText="1"/>
    </xf>
    <xf numFmtId="1" fontId="21" fillId="2" borderId="0" xfId="2" applyNumberFormat="1" applyFont="1" applyFill="1" applyBorder="1" applyAlignment="1">
      <alignment horizontal="right" vertical="center"/>
    </xf>
    <xf numFmtId="0" fontId="39" fillId="2" borderId="2" xfId="10" applyFont="1" applyFill="1" applyBorder="1" applyAlignment="1">
      <alignment horizontal="center" vertical="center"/>
    </xf>
    <xf numFmtId="1" fontId="39" fillId="2" borderId="2" xfId="2" applyNumberFormat="1" applyFont="1" applyFill="1" applyBorder="1" applyAlignment="1">
      <alignment vertical="center" wrapText="1"/>
    </xf>
    <xf numFmtId="166" fontId="39" fillId="2" borderId="2" xfId="10" applyNumberFormat="1" applyFont="1" applyFill="1" applyBorder="1" applyAlignment="1">
      <alignment horizontal="center" vertical="center"/>
    </xf>
    <xf numFmtId="166" fontId="39" fillId="2" borderId="2" xfId="2" applyNumberFormat="1" applyFont="1" applyFill="1" applyBorder="1" applyAlignment="1">
      <alignment vertical="center" wrapText="1"/>
    </xf>
    <xf numFmtId="166" fontId="39" fillId="2" borderId="2" xfId="3" applyNumberFormat="1" applyFont="1" applyFill="1" applyBorder="1" applyAlignment="1">
      <alignment horizontal="right" vertical="center"/>
    </xf>
    <xf numFmtId="167" fontId="32" fillId="2" borderId="2" xfId="0" applyNumberFormat="1" applyFont="1" applyFill="1" applyBorder="1" applyAlignment="1">
      <alignment horizontal="right" vertical="center" wrapText="1"/>
    </xf>
    <xf numFmtId="167" fontId="39" fillId="2" borderId="2" xfId="2" applyNumberFormat="1" applyFont="1" applyFill="1" applyBorder="1" applyAlignment="1">
      <alignment horizontal="right" vertical="center"/>
    </xf>
    <xf numFmtId="165" fontId="9" fillId="2" borderId="2" xfId="3" applyNumberFormat="1" applyFont="1" applyFill="1" applyBorder="1" applyAlignment="1">
      <alignment horizontal="right" vertical="center"/>
    </xf>
    <xf numFmtId="166" fontId="9" fillId="2" borderId="2" xfId="3" applyNumberFormat="1" applyFont="1" applyFill="1" applyBorder="1" applyAlignment="1">
      <alignment horizontal="right" vertical="center"/>
    </xf>
    <xf numFmtId="1" fontId="9" fillId="2" borderId="2" xfId="2" applyNumberFormat="1" applyFont="1" applyFill="1" applyBorder="1" applyAlignment="1">
      <alignment horizontal="center" vertical="center" wrapText="1"/>
    </xf>
    <xf numFmtId="1" fontId="9" fillId="2" borderId="0" xfId="2" applyNumberFormat="1" applyFont="1" applyFill="1" applyBorder="1" applyAlignment="1">
      <alignment horizontal="center" vertical="center" wrapText="1"/>
    </xf>
    <xf numFmtId="1" fontId="9" fillId="2" borderId="0" xfId="2" applyNumberFormat="1" applyFont="1" applyFill="1" applyAlignment="1">
      <alignment vertical="center"/>
    </xf>
    <xf numFmtId="1" fontId="9" fillId="2" borderId="2" xfId="2" applyNumberFormat="1" applyFont="1" applyFill="1" applyBorder="1" applyAlignment="1">
      <alignment vertical="center"/>
    </xf>
    <xf numFmtId="167" fontId="21" fillId="2" borderId="2" xfId="3" applyNumberFormat="1" applyFont="1" applyFill="1" applyBorder="1" applyAlignment="1">
      <alignment horizontal="right" vertical="center"/>
    </xf>
    <xf numFmtId="167" fontId="8" fillId="2" borderId="2" xfId="3" quotePrefix="1" applyNumberFormat="1" applyFont="1" applyFill="1" applyBorder="1" applyAlignment="1">
      <alignment horizontal="right" vertical="center" wrapText="1"/>
    </xf>
    <xf numFmtId="167" fontId="8" fillId="2" borderId="2" xfId="3" quotePrefix="1" applyNumberFormat="1" applyFont="1" applyFill="1" applyBorder="1" applyAlignment="1">
      <alignment vertical="center" wrapText="1"/>
    </xf>
    <xf numFmtId="167" fontId="8" fillId="2" borderId="2" xfId="3" applyNumberFormat="1" applyFont="1" applyFill="1" applyBorder="1" applyAlignment="1">
      <alignment horizontal="right" vertical="center"/>
    </xf>
    <xf numFmtId="1" fontId="42" fillId="2" borderId="2" xfId="2" applyNumberFormat="1" applyFont="1" applyFill="1" applyBorder="1" applyAlignment="1">
      <alignment horizontal="center" vertical="center" wrapText="1"/>
    </xf>
    <xf numFmtId="167" fontId="34" fillId="2" borderId="2" xfId="2" quotePrefix="1" applyNumberFormat="1" applyFont="1" applyFill="1" applyBorder="1" applyAlignment="1">
      <alignment horizontal="right" vertical="center" wrapText="1"/>
    </xf>
    <xf numFmtId="167" fontId="40" fillId="2" borderId="2" xfId="2" quotePrefix="1" applyNumberFormat="1" applyFont="1" applyFill="1" applyBorder="1" applyAlignment="1">
      <alignment horizontal="right" vertical="center" wrapText="1"/>
    </xf>
    <xf numFmtId="3" fontId="45" fillId="2" borderId="2" xfId="19" applyNumberFormat="1" applyFont="1" applyFill="1" applyBorder="1" applyAlignment="1">
      <alignment horizontal="justify" vertical="center"/>
    </xf>
    <xf numFmtId="166" fontId="34" fillId="2" borderId="2" xfId="1" quotePrefix="1" applyNumberFormat="1" applyFont="1" applyFill="1" applyBorder="1" applyAlignment="1">
      <alignment horizontal="right" vertical="center" wrapText="1"/>
    </xf>
    <xf numFmtId="43" fontId="34" fillId="2" borderId="2" xfId="1" quotePrefix="1" applyNumberFormat="1" applyFont="1" applyFill="1" applyBorder="1" applyAlignment="1">
      <alignment horizontal="right" vertical="center" wrapText="1"/>
    </xf>
    <xf numFmtId="166" fontId="34" fillId="2" borderId="2" xfId="1" quotePrefix="1" applyNumberFormat="1" applyFont="1" applyFill="1" applyBorder="1" applyAlignment="1">
      <alignment horizontal="center" vertical="center" wrapText="1"/>
    </xf>
    <xf numFmtId="166" fontId="13" fillId="2" borderId="2" xfId="1" quotePrefix="1" applyNumberFormat="1" applyFont="1" applyFill="1" applyBorder="1" applyAlignment="1">
      <alignment horizontal="center" vertical="center" wrapText="1"/>
    </xf>
    <xf numFmtId="1" fontId="44" fillId="2" borderId="2" xfId="2" applyNumberFormat="1" applyFont="1" applyFill="1" applyBorder="1" applyAlignment="1">
      <alignment horizontal="center" vertical="center"/>
    </xf>
    <xf numFmtId="1" fontId="25" fillId="2" borderId="2" xfId="2" quotePrefix="1" applyNumberFormat="1" applyFont="1" applyFill="1" applyBorder="1" applyAlignment="1">
      <alignment horizontal="center" vertical="center" wrapText="1"/>
    </xf>
    <xf numFmtId="3" fontId="47" fillId="2" borderId="2" xfId="2" quotePrefix="1" applyNumberFormat="1" applyFont="1" applyFill="1" applyBorder="1" applyAlignment="1">
      <alignment horizontal="center" vertical="center" wrapText="1"/>
    </xf>
    <xf numFmtId="166" fontId="34" fillId="2" borderId="2" xfId="0" applyNumberFormat="1" applyFont="1" applyFill="1" applyBorder="1" applyAlignment="1">
      <alignment horizontal="right" vertical="center" wrapText="1"/>
    </xf>
    <xf numFmtId="4" fontId="8" fillId="2" borderId="2" xfId="0" applyNumberFormat="1" applyFont="1" applyFill="1" applyBorder="1" applyAlignment="1">
      <alignment horizontal="right" vertical="center" wrapText="1"/>
    </xf>
    <xf numFmtId="4" fontId="21" fillId="2" borderId="2" xfId="0" applyNumberFormat="1" applyFont="1" applyFill="1" applyBorder="1" applyAlignment="1">
      <alignment horizontal="right" vertical="center" wrapText="1"/>
    </xf>
    <xf numFmtId="49" fontId="21" fillId="2" borderId="2" xfId="2" applyNumberFormat="1" applyFont="1" applyFill="1" applyBorder="1" applyAlignment="1">
      <alignment horizontal="center" vertical="center"/>
    </xf>
    <xf numFmtId="1" fontId="21" fillId="2" borderId="2" xfId="2" applyNumberFormat="1" applyFont="1" applyFill="1" applyBorder="1" applyAlignment="1">
      <alignment horizontal="left" vertical="center" wrapText="1"/>
    </xf>
    <xf numFmtId="3" fontId="32" fillId="2" borderId="2" xfId="10" applyNumberFormat="1" applyFont="1" applyFill="1" applyBorder="1" applyAlignment="1">
      <alignment horizontal="center" vertical="center" wrapText="1"/>
    </xf>
    <xf numFmtId="49" fontId="40" fillId="2" borderId="2" xfId="2" applyNumberFormat="1" applyFont="1" applyFill="1" applyBorder="1" applyAlignment="1">
      <alignment horizontal="center" vertical="center"/>
    </xf>
    <xf numFmtId="0" fontId="40" fillId="2" borderId="2" xfId="11" applyFont="1" applyFill="1" applyBorder="1" applyAlignment="1">
      <alignment horizontal="left" vertical="center" wrapText="1"/>
    </xf>
    <xf numFmtId="166" fontId="40" fillId="2" borderId="2" xfId="1" quotePrefix="1" applyNumberFormat="1" applyFont="1" applyFill="1" applyBorder="1" applyAlignment="1">
      <alignment horizontal="right" vertical="center" wrapText="1"/>
    </xf>
    <xf numFmtId="3" fontId="21" fillId="2" borderId="0" xfId="2" applyNumberFormat="1" applyFont="1" applyFill="1" applyAlignment="1">
      <alignment vertical="center"/>
    </xf>
    <xf numFmtId="1" fontId="7" fillId="2" borderId="0" xfId="2" applyNumberFormat="1" applyFont="1" applyFill="1" applyAlignment="1">
      <alignment horizontal="right" vertical="center"/>
    </xf>
    <xf numFmtId="1" fontId="8" fillId="2" borderId="0" xfId="2" applyNumberFormat="1" applyFont="1" applyFill="1" applyAlignment="1">
      <alignment vertical="center"/>
    </xf>
    <xf numFmtId="1" fontId="10" fillId="2" borderId="0" xfId="2" applyNumberFormat="1" applyFont="1" applyFill="1" applyAlignment="1">
      <alignment horizontal="center" vertical="center" wrapText="1"/>
    </xf>
    <xf numFmtId="1" fontId="11" fillId="2" borderId="0" xfId="2" applyNumberFormat="1" applyFont="1" applyFill="1" applyAlignment="1">
      <alignment vertical="center" wrapText="1"/>
    </xf>
    <xf numFmtId="1" fontId="12" fillId="2" borderId="0" xfId="2" applyNumberFormat="1" applyFont="1" applyFill="1" applyAlignment="1">
      <alignment horizontal="center" vertical="center" wrapText="1"/>
    </xf>
    <xf numFmtId="1" fontId="13" fillId="2" borderId="0" xfId="2" applyNumberFormat="1" applyFont="1" applyFill="1" applyBorder="1" applyAlignment="1">
      <alignment horizontal="right" vertical="center"/>
    </xf>
    <xf numFmtId="1" fontId="8" fillId="2" borderId="0" xfId="2" applyNumberFormat="1" applyFont="1" applyFill="1" applyAlignment="1">
      <alignment vertical="center" wrapText="1"/>
    </xf>
    <xf numFmtId="1" fontId="14" fillId="2" borderId="3" xfId="2" applyNumberFormat="1" applyFont="1" applyFill="1" applyBorder="1" applyAlignment="1">
      <alignment vertical="center"/>
    </xf>
    <xf numFmtId="1" fontId="14" fillId="2" borderId="4" xfId="2" applyNumberFormat="1" applyFont="1" applyFill="1" applyBorder="1" applyAlignment="1">
      <alignment vertical="center"/>
    </xf>
    <xf numFmtId="1" fontId="14" fillId="2" borderId="5" xfId="2" applyNumberFormat="1" applyFont="1" applyFill="1" applyBorder="1" applyAlignment="1">
      <alignment vertical="center"/>
    </xf>
    <xf numFmtId="3" fontId="14" fillId="2" borderId="0" xfId="2" applyNumberFormat="1" applyFont="1" applyFill="1" applyBorder="1" applyAlignment="1">
      <alignment horizontal="center" vertical="center" wrapText="1"/>
    </xf>
    <xf numFmtId="1" fontId="14" fillId="2" borderId="0" xfId="2" applyNumberFormat="1" applyFont="1" applyFill="1" applyAlignment="1">
      <alignment vertical="center" wrapText="1"/>
    </xf>
    <xf numFmtId="1" fontId="17" fillId="2" borderId="2" xfId="2" applyNumberFormat="1" applyFont="1" applyFill="1" applyBorder="1" applyAlignment="1">
      <alignment horizontal="center" vertical="center" wrapText="1"/>
    </xf>
    <xf numFmtId="3" fontId="18" fillId="2" borderId="2" xfId="2" applyNumberFormat="1" applyFont="1" applyFill="1" applyBorder="1" applyAlignment="1">
      <alignment horizontal="center" vertical="center" wrapText="1"/>
    </xf>
    <xf numFmtId="3" fontId="20" fillId="2" borderId="2" xfId="2" quotePrefix="1" applyNumberFormat="1" applyFont="1" applyFill="1" applyBorder="1" applyAlignment="1">
      <alignment horizontal="center" vertical="center" wrapText="1"/>
    </xf>
    <xf numFmtId="3" fontId="16" fillId="2" borderId="2" xfId="2" quotePrefix="1" applyNumberFormat="1" applyFont="1" applyFill="1" applyBorder="1" applyAlignment="1">
      <alignment horizontal="center" vertical="center" wrapText="1"/>
    </xf>
    <xf numFmtId="3" fontId="20" fillId="2" borderId="0" xfId="2" applyNumberFormat="1" applyFont="1" applyFill="1" applyBorder="1" applyAlignment="1">
      <alignment vertical="center" wrapText="1"/>
    </xf>
    <xf numFmtId="3" fontId="37" fillId="2" borderId="2" xfId="2" quotePrefix="1" applyNumberFormat="1" applyFont="1" applyFill="1" applyBorder="1" applyAlignment="1">
      <alignment horizontal="center" vertical="center" wrapText="1"/>
    </xf>
    <xf numFmtId="3" fontId="21" fillId="2" borderId="2" xfId="2" applyNumberFormat="1" applyFont="1" applyFill="1" applyBorder="1" applyAlignment="1">
      <alignment horizontal="center" vertical="center" wrapText="1"/>
    </xf>
    <xf numFmtId="3" fontId="8" fillId="2" borderId="2" xfId="2" quotePrefix="1" applyNumberFormat="1" applyFont="1" applyFill="1" applyBorder="1" applyAlignment="1">
      <alignment horizontal="center" vertical="center" wrapText="1"/>
    </xf>
    <xf numFmtId="3" fontId="38" fillId="2" borderId="2" xfId="2" quotePrefix="1" applyNumberFormat="1" applyFont="1" applyFill="1" applyBorder="1" applyAlignment="1">
      <alignment horizontal="center" vertical="center" wrapText="1"/>
    </xf>
    <xf numFmtId="3" fontId="38" fillId="2" borderId="0" xfId="2" quotePrefix="1" applyNumberFormat="1" applyFont="1" applyFill="1" applyBorder="1" applyAlignment="1">
      <alignment horizontal="center" vertical="center" wrapText="1"/>
    </xf>
    <xf numFmtId="3" fontId="38" fillId="2" borderId="0" xfId="2" applyNumberFormat="1" applyFont="1" applyFill="1" applyBorder="1" applyAlignment="1">
      <alignment vertical="center" wrapText="1"/>
    </xf>
    <xf numFmtId="1" fontId="9" fillId="2" borderId="2" xfId="2" applyNumberFormat="1" applyFont="1" applyFill="1" applyBorder="1" applyAlignment="1">
      <alignment horizontal="center" vertical="center"/>
    </xf>
    <xf numFmtId="1" fontId="34" fillId="2" borderId="2" xfId="2" applyNumberFormat="1" applyFont="1" applyFill="1" applyBorder="1" applyAlignment="1">
      <alignment horizontal="center" vertical="center" wrapText="1"/>
    </xf>
    <xf numFmtId="1" fontId="7" fillId="2" borderId="2" xfId="2" applyNumberFormat="1" applyFont="1" applyFill="1" applyBorder="1" applyAlignment="1">
      <alignment horizontal="center" vertical="center"/>
    </xf>
    <xf numFmtId="1" fontId="34" fillId="2" borderId="0" xfId="2" applyNumberFormat="1" applyFont="1" applyFill="1" applyAlignment="1">
      <alignment vertical="center"/>
    </xf>
    <xf numFmtId="49" fontId="8" fillId="2" borderId="2" xfId="2" applyNumberFormat="1" applyFont="1" applyFill="1" applyBorder="1" applyAlignment="1">
      <alignment horizontal="center" vertical="center"/>
    </xf>
    <xf numFmtId="1" fontId="8" fillId="2" borderId="2" xfId="2" applyNumberFormat="1" applyFont="1" applyFill="1" applyBorder="1" applyAlignment="1">
      <alignment horizontal="left" vertical="center" wrapText="1"/>
    </xf>
    <xf numFmtId="1" fontId="32" fillId="2" borderId="2" xfId="2" applyNumberFormat="1" applyFont="1" applyFill="1" applyBorder="1" applyAlignment="1">
      <alignment horizontal="center" vertical="center"/>
    </xf>
    <xf numFmtId="1" fontId="8" fillId="2" borderId="2" xfId="2" applyNumberFormat="1" applyFont="1" applyFill="1" applyBorder="1" applyAlignment="1">
      <alignment vertical="center"/>
    </xf>
    <xf numFmtId="3" fontId="32" fillId="2" borderId="2" xfId="2" applyNumberFormat="1" applyFont="1" applyFill="1" applyBorder="1" applyAlignment="1">
      <alignment horizontal="center" vertical="center" wrapText="1"/>
    </xf>
    <xf numFmtId="3" fontId="8" fillId="2" borderId="2" xfId="2" applyNumberFormat="1" applyFont="1" applyFill="1" applyBorder="1" applyAlignment="1">
      <alignment horizontal="center" vertical="center" wrapText="1"/>
    </xf>
    <xf numFmtId="166" fontId="8" fillId="2" borderId="2" xfId="1" applyNumberFormat="1" applyFont="1" applyFill="1" applyBorder="1" applyAlignment="1">
      <alignment vertical="center"/>
    </xf>
    <xf numFmtId="0" fontId="21" fillId="2" borderId="2" xfId="11" quotePrefix="1" applyFont="1" applyFill="1" applyBorder="1" applyAlignment="1">
      <alignment horizontal="left" vertical="center" wrapText="1"/>
    </xf>
    <xf numFmtId="1" fontId="21" fillId="2" borderId="2" xfId="2" applyNumberFormat="1" applyFont="1" applyFill="1" applyBorder="1" applyAlignment="1">
      <alignment horizontal="right" vertical="center" wrapText="1"/>
    </xf>
    <xf numFmtId="167" fontId="21" fillId="2" borderId="0" xfId="2" applyNumberFormat="1" applyFont="1" applyFill="1" applyAlignment="1">
      <alignment horizontal="left" vertical="center"/>
    </xf>
    <xf numFmtId="0" fontId="8" fillId="2" borderId="2" xfId="11" quotePrefix="1" applyFont="1" applyFill="1" applyBorder="1" applyAlignment="1">
      <alignment horizontal="left" vertical="center" wrapText="1"/>
    </xf>
    <xf numFmtId="0" fontId="21" fillId="2" borderId="2" xfId="11" applyFont="1" applyFill="1" applyBorder="1" applyAlignment="1">
      <alignment horizontal="left" vertical="center" wrapText="1"/>
    </xf>
    <xf numFmtId="167" fontId="21" fillId="2" borderId="0" xfId="2" applyNumberFormat="1" applyFont="1" applyFill="1" applyAlignment="1">
      <alignment vertical="center"/>
    </xf>
    <xf numFmtId="3" fontId="21" fillId="2" borderId="2" xfId="10" applyNumberFormat="1" applyFont="1" applyFill="1" applyBorder="1" applyAlignment="1">
      <alignment horizontal="center" vertical="center" wrapText="1"/>
    </xf>
    <xf numFmtId="0" fontId="21" fillId="2" borderId="2" xfId="12" quotePrefix="1" applyFont="1" applyFill="1" applyBorder="1" applyAlignment="1">
      <alignment horizontal="center" vertical="center"/>
    </xf>
    <xf numFmtId="0" fontId="21" fillId="2" borderId="2" xfId="13" applyFont="1" applyFill="1" applyBorder="1" applyAlignment="1">
      <alignment horizontal="left" vertical="center" wrapText="1"/>
    </xf>
    <xf numFmtId="0" fontId="21" fillId="2" borderId="2" xfId="12" applyFont="1" applyFill="1" applyBorder="1" applyAlignment="1">
      <alignment horizontal="center" vertical="center" wrapText="1"/>
    </xf>
    <xf numFmtId="166" fontId="21" fillId="2" borderId="2" xfId="1" applyNumberFormat="1" applyFont="1" applyFill="1" applyBorder="1" applyAlignment="1">
      <alignment horizontal="center" vertical="center" wrapText="1"/>
    </xf>
    <xf numFmtId="0" fontId="21" fillId="2" borderId="2" xfId="13" quotePrefix="1" applyFont="1" applyFill="1" applyBorder="1" applyAlignment="1">
      <alignment horizontal="center" vertical="center" wrapText="1"/>
    </xf>
    <xf numFmtId="0" fontId="21" fillId="2" borderId="2" xfId="10" applyFont="1" applyFill="1" applyBorder="1" applyAlignment="1">
      <alignment vertical="center"/>
    </xf>
    <xf numFmtId="167" fontId="21" fillId="2" borderId="0" xfId="2" applyNumberFormat="1" applyFont="1" applyFill="1" applyAlignment="1">
      <alignment horizontal="right" vertical="center"/>
    </xf>
    <xf numFmtId="0" fontId="21" fillId="2" borderId="2" xfId="10" applyFont="1" applyFill="1" applyBorder="1" applyAlignment="1">
      <alignment vertical="center" wrapText="1"/>
    </xf>
    <xf numFmtId="3" fontId="34" fillId="2" borderId="2" xfId="10" applyNumberFormat="1" applyFont="1" applyFill="1" applyBorder="1" applyAlignment="1">
      <alignment horizontal="center" vertical="center" wrapText="1"/>
    </xf>
    <xf numFmtId="0" fontId="34" fillId="2" borderId="2" xfId="13" applyFont="1" applyFill="1" applyBorder="1" applyAlignment="1">
      <alignment horizontal="left" vertical="center" wrapText="1"/>
    </xf>
    <xf numFmtId="0" fontId="34" fillId="2" borderId="2" xfId="12" applyFont="1" applyFill="1" applyBorder="1" applyAlignment="1">
      <alignment horizontal="center" vertical="center" wrapText="1"/>
    </xf>
    <xf numFmtId="166" fontId="34" fillId="2" borderId="2" xfId="1" applyNumberFormat="1" applyFont="1" applyFill="1" applyBorder="1" applyAlignment="1">
      <alignment horizontal="center" vertical="center" wrapText="1"/>
    </xf>
    <xf numFmtId="166" fontId="34" fillId="2" borderId="2" xfId="1" applyNumberFormat="1" applyFont="1" applyFill="1" applyBorder="1" applyAlignment="1">
      <alignment horizontal="right" vertical="center"/>
    </xf>
    <xf numFmtId="166" fontId="13" fillId="2" borderId="2" xfId="1" quotePrefix="1" applyNumberFormat="1" applyFont="1" applyFill="1" applyBorder="1" applyAlignment="1">
      <alignment horizontal="right" vertical="center" wrapText="1"/>
    </xf>
    <xf numFmtId="166" fontId="21" fillId="2" borderId="2" xfId="1" applyNumberFormat="1" applyFont="1" applyFill="1" applyBorder="1" applyAlignment="1">
      <alignment horizontal="right" vertical="center" wrapText="1"/>
    </xf>
    <xf numFmtId="1" fontId="34" fillId="2" borderId="0" xfId="2" applyNumberFormat="1" applyFont="1" applyFill="1" applyBorder="1" applyAlignment="1">
      <alignment horizontal="right" vertical="center"/>
    </xf>
    <xf numFmtId="0" fontId="34" fillId="2" borderId="2" xfId="12" applyFont="1" applyFill="1" applyBorder="1" applyAlignment="1">
      <alignment vertical="center" wrapText="1"/>
    </xf>
    <xf numFmtId="0" fontId="8" fillId="2" borderId="2" xfId="10" applyFont="1" applyFill="1" applyBorder="1" applyAlignment="1">
      <alignment vertical="center" wrapText="1"/>
    </xf>
    <xf numFmtId="0" fontId="8" fillId="2" borderId="2" xfId="12" applyFont="1" applyFill="1" applyBorder="1" applyAlignment="1">
      <alignment horizontal="center" vertical="center"/>
    </xf>
    <xf numFmtId="0" fontId="8" fillId="2" borderId="2" xfId="12" quotePrefix="1" applyFont="1" applyFill="1" applyBorder="1" applyAlignment="1">
      <alignment horizontal="center" vertical="center"/>
    </xf>
    <xf numFmtId="0" fontId="8" fillId="2" borderId="2" xfId="12" applyFont="1" applyFill="1" applyBorder="1" applyAlignment="1">
      <alignment horizontal="center" vertical="center" wrapText="1"/>
    </xf>
    <xf numFmtId="0" fontId="8" fillId="2" borderId="2" xfId="13" applyFont="1" applyFill="1" applyBorder="1" applyAlignment="1">
      <alignment horizontal="justify" vertical="center" wrapText="1"/>
    </xf>
    <xf numFmtId="0" fontId="21" fillId="2" borderId="2" xfId="13" applyFont="1" applyFill="1" applyBorder="1" applyAlignment="1">
      <alignment horizontal="justify" vertical="center" wrapText="1"/>
    </xf>
    <xf numFmtId="0" fontId="21" fillId="2" borderId="2" xfId="14" applyFont="1" applyFill="1" applyBorder="1" applyAlignment="1">
      <alignment horizontal="center" vertical="center"/>
    </xf>
    <xf numFmtId="0" fontId="21" fillId="2" borderId="2" xfId="15" quotePrefix="1" applyFont="1" applyFill="1" applyBorder="1" applyAlignment="1">
      <alignment horizontal="center" vertical="center"/>
    </xf>
    <xf numFmtId="166" fontId="21" fillId="2" borderId="2" xfId="1" quotePrefix="1" applyNumberFormat="1" applyFont="1" applyFill="1" applyBorder="1" applyAlignment="1">
      <alignment vertical="center" wrapText="1"/>
    </xf>
    <xf numFmtId="0" fontId="34" fillId="2" borderId="2" xfId="14" applyFont="1" applyFill="1" applyBorder="1" applyAlignment="1">
      <alignment horizontal="center" vertical="center"/>
    </xf>
    <xf numFmtId="0" fontId="34" fillId="2" borderId="2" xfId="15" quotePrefix="1" applyFont="1" applyFill="1" applyBorder="1" applyAlignment="1">
      <alignment horizontal="center" vertical="center"/>
    </xf>
    <xf numFmtId="3" fontId="7" fillId="2" borderId="2" xfId="2" applyNumberFormat="1" applyFont="1" applyFill="1" applyBorder="1" applyAlignment="1">
      <alignment horizontal="center" vertical="center"/>
    </xf>
    <xf numFmtId="3" fontId="34" fillId="2" borderId="0" xfId="2" applyNumberFormat="1" applyFont="1" applyFill="1" applyBorder="1" applyAlignment="1">
      <alignment horizontal="right" vertical="center"/>
    </xf>
    <xf numFmtId="3" fontId="8" fillId="2" borderId="2" xfId="10" applyNumberFormat="1" applyFont="1" applyFill="1" applyBorder="1" applyAlignment="1">
      <alignment horizontal="left" vertical="center" wrapText="1"/>
    </xf>
    <xf numFmtId="1" fontId="8" fillId="2" borderId="2" xfId="13" applyNumberFormat="1" applyFont="1" applyFill="1" applyBorder="1" applyAlignment="1">
      <alignment horizontal="center" vertical="center" wrapText="1"/>
    </xf>
    <xf numFmtId="0" fontId="8" fillId="2" borderId="2" xfId="10" applyFont="1" applyFill="1" applyBorder="1" applyAlignment="1">
      <alignment horizontal="left" vertical="center" wrapText="1"/>
    </xf>
    <xf numFmtId="0" fontId="8" fillId="2" borderId="2" xfId="12" quotePrefix="1" applyFont="1" applyFill="1" applyBorder="1" applyAlignment="1">
      <alignment horizontal="center" vertical="center" wrapText="1"/>
    </xf>
    <xf numFmtId="0" fontId="8" fillId="2" borderId="2" xfId="0" applyFont="1" applyFill="1" applyBorder="1" applyAlignment="1">
      <alignment horizontal="center" vertical="center"/>
    </xf>
    <xf numFmtId="166" fontId="32" fillId="2" borderId="2" xfId="1" quotePrefix="1" applyNumberFormat="1" applyFont="1" applyFill="1" applyBorder="1" applyAlignment="1">
      <alignment horizontal="right" vertical="center" wrapText="1"/>
    </xf>
    <xf numFmtId="0" fontId="8" fillId="2" borderId="2" xfId="17" applyFont="1" applyFill="1" applyBorder="1" applyAlignment="1">
      <alignment horizontal="left" vertical="center" wrapText="1"/>
    </xf>
    <xf numFmtId="0" fontId="8" fillId="2" borderId="2" xfId="16" quotePrefix="1" applyFont="1" applyFill="1" applyBorder="1" applyAlignment="1">
      <alignment horizontal="center" vertical="center" wrapText="1"/>
    </xf>
    <xf numFmtId="166" fontId="39" fillId="2" borderId="2" xfId="1" quotePrefix="1" applyNumberFormat="1" applyFont="1" applyFill="1" applyBorder="1" applyAlignment="1">
      <alignment vertical="center" wrapText="1"/>
    </xf>
    <xf numFmtId="166" fontId="8" fillId="2" borderId="2" xfId="18" applyNumberFormat="1" applyFont="1" applyFill="1" applyBorder="1" applyAlignment="1">
      <alignment horizontal="right" vertical="center" wrapText="1"/>
    </xf>
    <xf numFmtId="167" fontId="32" fillId="2" borderId="2" xfId="10" applyNumberFormat="1" applyFont="1" applyFill="1" applyBorder="1" applyAlignment="1">
      <alignment horizontal="center" vertical="center" wrapText="1"/>
    </xf>
    <xf numFmtId="167" fontId="8" fillId="2" borderId="0" xfId="10" applyNumberFormat="1" applyFont="1" applyFill="1" applyBorder="1" applyAlignment="1">
      <alignment horizontal="right" vertical="center" wrapText="1"/>
    </xf>
    <xf numFmtId="3" fontId="21" fillId="2" borderId="2" xfId="19" applyNumberFormat="1" applyFont="1" applyFill="1" applyBorder="1" applyAlignment="1">
      <alignment vertical="center" wrapText="1"/>
    </xf>
    <xf numFmtId="3" fontId="21" fillId="2" borderId="2" xfId="20" applyNumberFormat="1" applyFont="1" applyFill="1" applyBorder="1" applyAlignment="1">
      <alignment horizontal="center" vertical="center" wrapText="1"/>
    </xf>
    <xf numFmtId="166" fontId="21" fillId="2" borderId="2" xfId="1" quotePrefix="1" applyNumberFormat="1" applyFont="1" applyFill="1" applyBorder="1" applyAlignment="1">
      <alignment horizontal="center" vertical="center" wrapText="1"/>
    </xf>
    <xf numFmtId="3" fontId="21" fillId="2" borderId="2" xfId="20" applyNumberFormat="1" applyFont="1" applyFill="1" applyBorder="1" applyAlignment="1">
      <alignment horizontal="left" vertical="center" wrapText="1"/>
    </xf>
    <xf numFmtId="3" fontId="34" fillId="2" borderId="2" xfId="20" applyNumberFormat="1" applyFont="1" applyFill="1" applyBorder="1" applyAlignment="1">
      <alignment horizontal="left" vertical="center" wrapText="1"/>
    </xf>
    <xf numFmtId="3" fontId="34" fillId="2" borderId="2" xfId="20" applyNumberFormat="1" applyFont="1" applyFill="1" applyBorder="1" applyAlignment="1">
      <alignment horizontal="center" vertical="center" wrapText="1"/>
    </xf>
    <xf numFmtId="166" fontId="34" fillId="2" borderId="2" xfId="1" applyNumberFormat="1" applyFont="1" applyFill="1" applyBorder="1" applyAlignment="1">
      <alignment horizontal="right" vertical="center" wrapText="1"/>
    </xf>
    <xf numFmtId="1" fontId="34" fillId="2" borderId="2" xfId="2" applyNumberFormat="1" applyFont="1" applyFill="1" applyBorder="1" applyAlignment="1">
      <alignment vertical="center"/>
    </xf>
    <xf numFmtId="3" fontId="34" fillId="2" borderId="2" xfId="20" applyNumberFormat="1" applyFont="1" applyFill="1" applyBorder="1" applyAlignment="1">
      <alignment vertical="center" wrapText="1"/>
    </xf>
    <xf numFmtId="3" fontId="8" fillId="2" borderId="2" xfId="20" applyNumberFormat="1" applyFont="1" applyFill="1" applyBorder="1" applyAlignment="1">
      <alignment vertical="center" wrapText="1"/>
    </xf>
    <xf numFmtId="166" fontId="8" fillId="2" borderId="2" xfId="1" applyNumberFormat="1" applyFont="1" applyFill="1" applyBorder="1" applyAlignment="1">
      <alignment vertical="center" wrapText="1"/>
    </xf>
    <xf numFmtId="1" fontId="8" fillId="2" borderId="0" xfId="2" applyNumberFormat="1" applyFont="1" applyFill="1" applyBorder="1" applyAlignment="1">
      <alignment horizontal="right" vertical="center"/>
    </xf>
    <xf numFmtId="0" fontId="8" fillId="2" borderId="2" xfId="16" applyFont="1" applyFill="1" applyBorder="1" applyAlignment="1">
      <alignment vertical="center" wrapText="1"/>
    </xf>
    <xf numFmtId="0" fontId="8" fillId="2" borderId="2" xfId="21" applyFont="1" applyFill="1" applyBorder="1" applyAlignment="1">
      <alignment horizontal="left" vertical="center" wrapText="1"/>
    </xf>
    <xf numFmtId="166" fontId="8" fillId="2" borderId="2" xfId="1" applyNumberFormat="1" applyFont="1" applyFill="1" applyBorder="1" applyAlignment="1">
      <alignment horizontal="center" vertical="center" wrapText="1"/>
    </xf>
    <xf numFmtId="3" fontId="8" fillId="2" borderId="2" xfId="0" applyNumberFormat="1" applyFont="1" applyFill="1" applyBorder="1" applyAlignment="1">
      <alignment horizontal="center" vertical="center" wrapText="1"/>
    </xf>
    <xf numFmtId="166" fontId="8" fillId="2" borderId="6" xfId="1" quotePrefix="1" applyNumberFormat="1" applyFont="1" applyFill="1" applyBorder="1" applyAlignment="1">
      <alignment horizontal="center" vertical="center" wrapText="1"/>
    </xf>
    <xf numFmtId="3" fontId="32" fillId="2" borderId="6" xfId="10" applyNumberFormat="1" applyFont="1" applyFill="1" applyBorder="1" applyAlignment="1">
      <alignment horizontal="center" vertical="center" wrapText="1"/>
    </xf>
    <xf numFmtId="3" fontId="21" fillId="2" borderId="2" xfId="2" applyNumberFormat="1" applyFont="1" applyFill="1" applyBorder="1" applyAlignment="1">
      <alignment horizontal="left" vertical="center"/>
    </xf>
    <xf numFmtId="3" fontId="21" fillId="2" borderId="2" xfId="10" quotePrefix="1" applyNumberFormat="1" applyFont="1" applyFill="1" applyBorder="1" applyAlignment="1">
      <alignment horizontal="center" vertical="center"/>
    </xf>
    <xf numFmtId="0" fontId="21" fillId="2" borderId="2" xfId="10" applyFont="1" applyFill="1" applyBorder="1" applyAlignment="1">
      <alignment horizontal="center" vertical="center"/>
    </xf>
    <xf numFmtId="0" fontId="21" fillId="2" borderId="2" xfId="10" applyFont="1" applyFill="1" applyBorder="1" applyAlignment="1">
      <alignment vertical="center" wrapText="1" shrinkToFit="1"/>
    </xf>
    <xf numFmtId="3" fontId="34" fillId="2" borderId="2" xfId="10" applyNumberFormat="1" applyFont="1" applyFill="1" applyBorder="1" applyAlignment="1">
      <alignment vertical="center" wrapText="1"/>
    </xf>
    <xf numFmtId="3" fontId="34" fillId="2" borderId="2" xfId="10" applyNumberFormat="1" applyFont="1" applyFill="1" applyBorder="1" applyAlignment="1">
      <alignment horizontal="center" vertical="center"/>
    </xf>
    <xf numFmtId="1" fontId="21" fillId="2" borderId="2" xfId="2" applyNumberFormat="1" applyFont="1" applyFill="1" applyBorder="1" applyAlignment="1">
      <alignment horizontal="center" vertical="center"/>
    </xf>
    <xf numFmtId="0" fontId="34" fillId="2" borderId="2" xfId="10" applyFont="1" applyFill="1" applyBorder="1" applyAlignment="1">
      <alignment vertical="center" wrapText="1"/>
    </xf>
    <xf numFmtId="0" fontId="34" fillId="2" borderId="2" xfId="10" applyFont="1" applyFill="1" applyBorder="1" applyAlignment="1">
      <alignment horizontal="center" vertical="center" wrapText="1"/>
    </xf>
    <xf numFmtId="3" fontId="8" fillId="2" borderId="2" xfId="22" applyNumberFormat="1" applyFont="1" applyFill="1" applyBorder="1" applyAlignment="1">
      <alignment horizontal="center" vertical="center" wrapText="1"/>
    </xf>
    <xf numFmtId="168" fontId="8" fillId="2" borderId="2" xfId="2" applyNumberFormat="1" applyFont="1" applyFill="1" applyBorder="1" applyAlignment="1">
      <alignment horizontal="right" vertical="center"/>
    </xf>
    <xf numFmtId="1" fontId="8" fillId="2" borderId="0" xfId="2" applyNumberFormat="1" applyFont="1" applyFill="1" applyBorder="1" applyAlignment="1">
      <alignment horizontal="left" vertical="center"/>
    </xf>
    <xf numFmtId="3" fontId="8" fillId="2" borderId="2" xfId="23" applyNumberFormat="1" applyFont="1" applyFill="1" applyBorder="1" applyAlignment="1">
      <alignment vertical="center" wrapText="1"/>
    </xf>
    <xf numFmtId="166" fontId="32" fillId="2" borderId="2" xfId="1" applyNumberFormat="1" applyFont="1" applyFill="1" applyBorder="1" applyAlignment="1">
      <alignment horizontal="right" vertical="center"/>
    </xf>
    <xf numFmtId="4" fontId="8" fillId="2" borderId="2" xfId="24" applyNumberFormat="1" applyFont="1" applyFill="1" applyBorder="1" applyAlignment="1">
      <alignment vertical="center" wrapText="1"/>
    </xf>
    <xf numFmtId="0" fontId="8" fillId="2" borderId="2" xfId="10" applyFont="1" applyFill="1" applyBorder="1" applyAlignment="1">
      <alignment vertical="center" wrapText="1" shrinkToFit="1"/>
    </xf>
    <xf numFmtId="3" fontId="8" fillId="2" borderId="2" xfId="25" applyNumberFormat="1" applyFont="1" applyFill="1" applyBorder="1" applyAlignment="1">
      <alignment vertical="center" wrapText="1"/>
    </xf>
    <xf numFmtId="3" fontId="32" fillId="2" borderId="2" xfId="19" applyNumberFormat="1" applyFont="1" applyFill="1" applyBorder="1" applyAlignment="1">
      <alignment horizontal="center" vertical="center" wrapText="1"/>
    </xf>
    <xf numFmtId="3" fontId="21" fillId="2" borderId="2" xfId="10" applyNumberFormat="1" applyFont="1" applyFill="1" applyBorder="1" applyAlignment="1">
      <alignment horizontal="left" vertical="center" wrapText="1"/>
    </xf>
    <xf numFmtId="1" fontId="40" fillId="2" borderId="0" xfId="2" applyNumberFormat="1" applyFont="1" applyFill="1" applyBorder="1" applyAlignment="1">
      <alignment horizontal="left" vertical="center"/>
    </xf>
    <xf numFmtId="1" fontId="21" fillId="2" borderId="0" xfId="2" applyNumberFormat="1" applyFont="1" applyFill="1" applyAlignment="1">
      <alignment horizontal="center" vertical="center"/>
    </xf>
    <xf numFmtId="3" fontId="21" fillId="2" borderId="2" xfId="10" quotePrefix="1" applyNumberFormat="1" applyFont="1" applyFill="1" applyBorder="1" applyAlignment="1">
      <alignment horizontal="center" vertical="center" wrapText="1"/>
    </xf>
    <xf numFmtId="3" fontId="34" fillId="2" borderId="2" xfId="10" applyNumberFormat="1" applyFont="1" applyFill="1" applyBorder="1" applyAlignment="1">
      <alignment horizontal="left" vertical="center" wrapText="1"/>
    </xf>
    <xf numFmtId="3" fontId="8" fillId="2" borderId="2" xfId="10" quotePrefix="1" applyNumberFormat="1" applyFont="1" applyFill="1" applyBorder="1" applyAlignment="1">
      <alignment horizontal="center" vertical="center" wrapText="1"/>
    </xf>
    <xf numFmtId="3" fontId="8" fillId="2" borderId="2" xfId="0" applyNumberFormat="1" applyFont="1" applyFill="1" applyBorder="1" applyAlignment="1">
      <alignment horizontal="left" vertical="center" wrapText="1"/>
    </xf>
    <xf numFmtId="3" fontId="8" fillId="2" borderId="2" xfId="0" quotePrefix="1" applyNumberFormat="1" applyFont="1" applyFill="1" applyBorder="1" applyAlignment="1">
      <alignment horizontal="center" vertical="center" wrapText="1"/>
    </xf>
    <xf numFmtId="3" fontId="8" fillId="2" borderId="0" xfId="2" applyNumberFormat="1" applyFont="1" applyFill="1" applyBorder="1" applyAlignment="1">
      <alignment vertical="center" wrapText="1"/>
    </xf>
    <xf numFmtId="3" fontId="8" fillId="2" borderId="0" xfId="2" applyNumberFormat="1" applyFont="1" applyFill="1" applyAlignment="1">
      <alignment vertical="center"/>
    </xf>
    <xf numFmtId="0" fontId="43" fillId="2" borderId="2" xfId="0" applyFont="1" applyFill="1" applyBorder="1" applyAlignment="1">
      <alignment horizontal="center" vertical="center" wrapText="1"/>
    </xf>
    <xf numFmtId="0" fontId="8" fillId="2" borderId="2" xfId="10" applyFont="1" applyFill="1" applyBorder="1" applyAlignment="1">
      <alignment horizontal="justify" vertical="center" wrapText="1"/>
    </xf>
    <xf numFmtId="3" fontId="8" fillId="2" borderId="2" xfId="2" applyNumberFormat="1" applyFont="1" applyFill="1" applyBorder="1" applyAlignment="1">
      <alignment vertical="center"/>
    </xf>
    <xf numFmtId="0" fontId="8" fillId="2" borderId="2" xfId="0" applyFont="1" applyFill="1" applyBorder="1" applyAlignment="1">
      <alignment horizontal="justify" vertical="center" wrapText="1"/>
    </xf>
    <xf numFmtId="3" fontId="8" fillId="2" borderId="0" xfId="10" applyNumberFormat="1" applyFont="1" applyFill="1" applyBorder="1" applyAlignment="1">
      <alignment vertical="center" wrapText="1"/>
    </xf>
    <xf numFmtId="167" fontId="32" fillId="2" borderId="2" xfId="2" applyNumberFormat="1" applyFont="1" applyFill="1" applyBorder="1" applyAlignment="1">
      <alignment horizontal="center" vertical="center" wrapText="1"/>
    </xf>
    <xf numFmtId="167" fontId="8" fillId="2" borderId="0" xfId="2" applyNumberFormat="1" applyFont="1" applyFill="1" applyBorder="1" applyAlignment="1">
      <alignment horizontal="right" vertical="center" wrapText="1"/>
    </xf>
    <xf numFmtId="41" fontId="8" fillId="2" borderId="2" xfId="10" applyNumberFormat="1" applyFont="1" applyFill="1" applyBorder="1" applyAlignment="1">
      <alignment horizontal="left" vertical="center" wrapText="1"/>
    </xf>
    <xf numFmtId="165" fontId="21" fillId="2" borderId="2" xfId="1" applyNumberFormat="1" applyFont="1" applyFill="1" applyBorder="1" applyAlignment="1">
      <alignment horizontal="right" vertical="center"/>
    </xf>
    <xf numFmtId="3" fontId="8" fillId="2" borderId="2" xfId="28" quotePrefix="1" applyNumberFormat="1" applyFont="1" applyFill="1" applyBorder="1" applyAlignment="1">
      <alignment vertical="center" wrapText="1"/>
    </xf>
    <xf numFmtId="165" fontId="8" fillId="2" borderId="2" xfId="1" quotePrefix="1" applyNumberFormat="1" applyFont="1" applyFill="1" applyBorder="1" applyAlignment="1">
      <alignment horizontal="right" vertical="center" wrapText="1"/>
    </xf>
    <xf numFmtId="41" fontId="39" fillId="2" borderId="2" xfId="10" applyNumberFormat="1" applyFont="1" applyFill="1" applyBorder="1" applyAlignment="1">
      <alignment horizontal="center" vertical="center" wrapText="1"/>
    </xf>
    <xf numFmtId="3" fontId="39" fillId="2" borderId="2" xfId="31" applyNumberFormat="1" applyFont="1" applyFill="1" applyBorder="1" applyAlignment="1">
      <alignment horizontal="center" vertical="center" wrapText="1"/>
    </xf>
    <xf numFmtId="1" fontId="8" fillId="2" borderId="2" xfId="26" applyNumberFormat="1" applyFont="1" applyFill="1" applyBorder="1" applyAlignment="1">
      <alignment horizontal="left" vertical="center" wrapText="1"/>
    </xf>
    <xf numFmtId="165" fontId="8" fillId="2" borderId="6" xfId="1" quotePrefix="1" applyNumberFormat="1" applyFont="1" applyFill="1" applyBorder="1" applyAlignment="1">
      <alignment horizontal="right" vertical="center" wrapText="1"/>
    </xf>
    <xf numFmtId="1" fontId="9" fillId="2" borderId="6" xfId="2" applyNumberFormat="1" applyFont="1" applyFill="1" applyBorder="1" applyAlignment="1">
      <alignment horizontal="center" vertical="center"/>
    </xf>
    <xf numFmtId="41" fontId="39" fillId="2" borderId="2" xfId="10" quotePrefix="1" applyNumberFormat="1" applyFont="1" applyFill="1" applyBorder="1" applyAlignment="1">
      <alignment horizontal="center" vertical="center" wrapText="1"/>
    </xf>
    <xf numFmtId="166" fontId="39" fillId="2" borderId="2" xfId="3" quotePrefix="1" applyNumberFormat="1" applyFont="1" applyFill="1" applyBorder="1" applyAlignment="1">
      <alignment horizontal="right" vertical="center" wrapText="1"/>
    </xf>
    <xf numFmtId="165" fontId="8" fillId="2" borderId="2" xfId="3" quotePrefix="1" applyNumberFormat="1" applyFont="1" applyFill="1" applyBorder="1" applyAlignment="1">
      <alignment horizontal="right" vertical="center" wrapText="1"/>
    </xf>
    <xf numFmtId="0" fontId="21" fillId="2" borderId="2" xfId="10" quotePrefix="1" applyFont="1" applyFill="1" applyBorder="1" applyAlignment="1">
      <alignment horizontal="center" vertical="center"/>
    </xf>
    <xf numFmtId="1" fontId="21" fillId="2" borderId="2" xfId="26" applyNumberFormat="1" applyFont="1" applyFill="1" applyBorder="1" applyAlignment="1">
      <alignment horizontal="left" vertical="center" wrapText="1"/>
    </xf>
    <xf numFmtId="1" fontId="21" fillId="2" borderId="6" xfId="2" applyNumberFormat="1" applyFont="1" applyFill="1" applyBorder="1" applyAlignment="1">
      <alignment horizontal="center" vertical="center" wrapText="1"/>
    </xf>
    <xf numFmtId="41" fontId="21" fillId="2" borderId="2" xfId="10" applyNumberFormat="1" applyFont="1" applyFill="1" applyBorder="1" applyAlignment="1">
      <alignment horizontal="center" vertical="center" wrapText="1"/>
    </xf>
    <xf numFmtId="1" fontId="40" fillId="2" borderId="2" xfId="2" applyNumberFormat="1" applyFont="1" applyFill="1" applyBorder="1" applyAlignment="1">
      <alignment horizontal="center" vertical="center" wrapText="1"/>
    </xf>
    <xf numFmtId="165" fontId="21" fillId="2" borderId="2" xfId="1" quotePrefix="1" applyNumberFormat="1" applyFont="1" applyFill="1" applyBorder="1" applyAlignment="1">
      <alignment horizontal="right" vertical="center" wrapText="1"/>
    </xf>
    <xf numFmtId="165" fontId="21" fillId="2" borderId="2" xfId="1" quotePrefix="1" applyNumberFormat="1" applyFont="1" applyFill="1" applyBorder="1" applyAlignment="1">
      <alignment vertical="center" wrapText="1"/>
    </xf>
    <xf numFmtId="165" fontId="8" fillId="2" borderId="2" xfId="1" quotePrefix="1" applyNumberFormat="1" applyFont="1" applyFill="1" applyBorder="1" applyAlignment="1">
      <alignment vertical="center" wrapText="1"/>
    </xf>
    <xf numFmtId="1" fontId="40" fillId="2" borderId="2" xfId="2" quotePrefix="1" applyNumberFormat="1" applyFont="1" applyFill="1" applyBorder="1" applyAlignment="1">
      <alignment horizontal="center" vertical="center"/>
    </xf>
    <xf numFmtId="1" fontId="40" fillId="2" borderId="2" xfId="2" applyNumberFormat="1" applyFont="1" applyFill="1" applyBorder="1" applyAlignment="1">
      <alignment vertical="center" wrapText="1"/>
    </xf>
    <xf numFmtId="1" fontId="21" fillId="2" borderId="2" xfId="2" quotePrefix="1" applyNumberFormat="1" applyFont="1" applyFill="1" applyBorder="1" applyAlignment="1">
      <alignment horizontal="center" vertical="center"/>
    </xf>
    <xf numFmtId="1" fontId="21" fillId="2" borderId="2" xfId="2" applyNumberFormat="1" applyFont="1" applyFill="1" applyBorder="1" applyAlignment="1">
      <alignment vertical="center" wrapText="1"/>
    </xf>
    <xf numFmtId="165" fontId="21" fillId="2" borderId="2" xfId="3" quotePrefix="1" applyNumberFormat="1" applyFont="1" applyFill="1" applyBorder="1" applyAlignment="1">
      <alignment vertical="center" wrapText="1"/>
    </xf>
    <xf numFmtId="1" fontId="34" fillId="2" borderId="2" xfId="2" applyNumberFormat="1" applyFont="1" applyFill="1" applyBorder="1" applyAlignment="1">
      <alignment vertical="center" wrapText="1"/>
    </xf>
    <xf numFmtId="1" fontId="8" fillId="2" borderId="2" xfId="2" quotePrefix="1" applyNumberFormat="1" applyFont="1" applyFill="1" applyBorder="1" applyAlignment="1">
      <alignment horizontal="center" vertical="center"/>
    </xf>
    <xf numFmtId="0" fontId="8" fillId="2" borderId="2" xfId="0" applyFont="1" applyFill="1" applyBorder="1" applyAlignment="1">
      <alignment vertical="center" wrapText="1"/>
    </xf>
    <xf numFmtId="165" fontId="21" fillId="2" borderId="0" xfId="3" applyNumberFormat="1" applyFont="1" applyFill="1" applyAlignment="1">
      <alignment vertical="center"/>
    </xf>
    <xf numFmtId="165" fontId="21" fillId="2" borderId="0" xfId="3" quotePrefix="1" applyNumberFormat="1" applyFont="1" applyFill="1" applyBorder="1" applyAlignment="1">
      <alignment vertical="center" wrapText="1"/>
    </xf>
    <xf numFmtId="1" fontId="21" fillId="2" borderId="0" xfId="3" applyNumberFormat="1" applyFont="1" applyFill="1" applyAlignment="1">
      <alignment vertical="center"/>
    </xf>
    <xf numFmtId="165" fontId="8" fillId="2" borderId="0" xfId="3" applyNumberFormat="1" applyFont="1" applyFill="1" applyAlignment="1">
      <alignment vertical="center"/>
    </xf>
    <xf numFmtId="1" fontId="14" fillId="2" borderId="2" xfId="2" quotePrefix="1" applyNumberFormat="1" applyFont="1" applyFill="1" applyBorder="1" applyAlignment="1">
      <alignment horizontal="center" vertical="center"/>
    </xf>
    <xf numFmtId="1" fontId="14" fillId="2" borderId="2" xfId="2" applyNumberFormat="1" applyFont="1" applyFill="1" applyBorder="1" applyAlignment="1">
      <alignment vertical="center" wrapText="1"/>
    </xf>
    <xf numFmtId="1" fontId="14" fillId="2" borderId="2" xfId="2" applyNumberFormat="1" applyFont="1" applyFill="1" applyBorder="1" applyAlignment="1">
      <alignment horizontal="center" vertical="center" wrapText="1"/>
    </xf>
    <xf numFmtId="3" fontId="14" fillId="2" borderId="2" xfId="2" applyNumberFormat="1" applyFont="1" applyFill="1" applyBorder="1" applyAlignment="1">
      <alignment horizontal="right" vertical="center"/>
    </xf>
    <xf numFmtId="165" fontId="14" fillId="2" borderId="2" xfId="3" quotePrefix="1" applyNumberFormat="1" applyFont="1" applyFill="1" applyBorder="1" applyAlignment="1">
      <alignment vertical="center" wrapText="1"/>
    </xf>
    <xf numFmtId="166" fontId="14" fillId="2" borderId="2" xfId="3" quotePrefix="1" applyNumberFormat="1" applyFont="1" applyFill="1" applyBorder="1" applyAlignment="1">
      <alignment vertical="center" wrapText="1"/>
    </xf>
    <xf numFmtId="1" fontId="16" fillId="2" borderId="2" xfId="2" applyNumberFormat="1" applyFont="1" applyFill="1" applyBorder="1" applyAlignment="1">
      <alignment horizontal="center" vertical="center" wrapText="1"/>
    </xf>
    <xf numFmtId="1" fontId="14" fillId="2" borderId="0" xfId="2" applyNumberFormat="1" applyFont="1" applyFill="1" applyBorder="1" applyAlignment="1">
      <alignment horizontal="center" vertical="center" wrapText="1"/>
    </xf>
    <xf numFmtId="1" fontId="14" fillId="2" borderId="0" xfId="2" applyNumberFormat="1" applyFont="1" applyFill="1" applyAlignment="1">
      <alignment vertical="center"/>
    </xf>
    <xf numFmtId="165" fontId="14" fillId="2" borderId="0" xfId="1" applyNumberFormat="1" applyFont="1" applyFill="1" applyAlignment="1">
      <alignment vertical="center"/>
    </xf>
    <xf numFmtId="1" fontId="48" fillId="2" borderId="2" xfId="2" applyNumberFormat="1" applyFont="1" applyFill="1" applyBorder="1" applyAlignment="1">
      <alignment horizontal="center" vertical="center" wrapText="1"/>
    </xf>
    <xf numFmtId="165" fontId="48" fillId="2" borderId="2" xfId="3" quotePrefix="1" applyNumberFormat="1" applyFont="1" applyFill="1" applyBorder="1" applyAlignment="1">
      <alignment vertical="center" wrapText="1"/>
    </xf>
    <xf numFmtId="1" fontId="49" fillId="2" borderId="2" xfId="2" applyNumberFormat="1" applyFont="1" applyFill="1" applyBorder="1" applyAlignment="1">
      <alignment horizontal="center" vertical="center" wrapText="1"/>
    </xf>
    <xf numFmtId="1" fontId="48" fillId="2" borderId="0" xfId="2" applyNumberFormat="1" applyFont="1" applyFill="1" applyBorder="1" applyAlignment="1">
      <alignment horizontal="center" vertical="center" wrapText="1"/>
    </xf>
    <xf numFmtId="1" fontId="48" fillId="2" borderId="0" xfId="2" applyNumberFormat="1" applyFont="1" applyFill="1" applyAlignment="1">
      <alignment vertical="center"/>
    </xf>
    <xf numFmtId="165" fontId="48" fillId="2" borderId="0" xfId="1" applyNumberFormat="1" applyFont="1" applyFill="1" applyAlignment="1">
      <alignment vertical="center"/>
    </xf>
    <xf numFmtId="1" fontId="23" fillId="2" borderId="2" xfId="2" applyNumberFormat="1" applyFont="1" applyFill="1" applyBorder="1" applyAlignment="1">
      <alignment horizontal="center" vertical="center" wrapText="1"/>
    </xf>
    <xf numFmtId="165" fontId="23" fillId="2" borderId="2" xfId="3" quotePrefix="1" applyNumberFormat="1" applyFont="1" applyFill="1" applyBorder="1" applyAlignment="1">
      <alignment vertical="center" wrapText="1"/>
    </xf>
    <xf numFmtId="1" fontId="35" fillId="2" borderId="2" xfId="2" applyNumberFormat="1" applyFont="1" applyFill="1" applyBorder="1" applyAlignment="1">
      <alignment horizontal="center" vertical="center" wrapText="1"/>
    </xf>
    <xf numFmtId="1" fontId="23" fillId="2" borderId="0" xfId="2" applyNumberFormat="1" applyFont="1" applyFill="1" applyBorder="1" applyAlignment="1">
      <alignment horizontal="center" vertical="center" wrapText="1"/>
    </xf>
    <xf numFmtId="1" fontId="23" fillId="2" borderId="0" xfId="2" applyNumberFormat="1" applyFont="1" applyFill="1" applyAlignment="1">
      <alignment vertical="center"/>
    </xf>
    <xf numFmtId="165" fontId="23" fillId="2" borderId="0" xfId="1" applyNumberFormat="1" applyFont="1" applyFill="1" applyAlignment="1">
      <alignment vertical="center"/>
    </xf>
    <xf numFmtId="4" fontId="21" fillId="2" borderId="2" xfId="2" applyNumberFormat="1" applyFont="1" applyFill="1" applyBorder="1" applyAlignment="1">
      <alignment horizontal="right" vertical="center"/>
    </xf>
    <xf numFmtId="4" fontId="21" fillId="2" borderId="2" xfId="3" quotePrefix="1" applyNumberFormat="1" applyFont="1" applyFill="1" applyBorder="1" applyAlignment="1">
      <alignment vertical="center" wrapText="1"/>
    </xf>
    <xf numFmtId="4" fontId="8" fillId="2" borderId="2" xfId="2" applyNumberFormat="1" applyFont="1" applyFill="1" applyBorder="1" applyAlignment="1">
      <alignment horizontal="right" vertical="center"/>
    </xf>
    <xf numFmtId="4" fontId="8" fillId="2" borderId="2" xfId="3" quotePrefix="1" applyNumberFormat="1" applyFont="1" applyFill="1" applyBorder="1" applyAlignment="1">
      <alignment vertical="center" wrapText="1"/>
    </xf>
    <xf numFmtId="1" fontId="8" fillId="2" borderId="0" xfId="2" applyNumberFormat="1" applyFont="1" applyFill="1" applyAlignment="1">
      <alignment horizontal="center" vertical="center"/>
    </xf>
    <xf numFmtId="1" fontId="8" fillId="2" borderId="0" xfId="2" applyNumberFormat="1" applyFont="1" applyFill="1" applyAlignment="1">
      <alignment horizontal="center" vertical="center" wrapText="1"/>
    </xf>
    <xf numFmtId="1" fontId="8" fillId="2" borderId="0" xfId="2" applyNumberFormat="1" applyFont="1" applyFill="1" applyAlignment="1">
      <alignment horizontal="right" vertical="center"/>
    </xf>
    <xf numFmtId="1" fontId="16" fillId="2" borderId="0" xfId="2" applyNumberFormat="1" applyFont="1" applyFill="1" applyAlignment="1">
      <alignment horizontal="center" vertical="center"/>
    </xf>
    <xf numFmtId="166" fontId="40" fillId="3" borderId="2" xfId="1" quotePrefix="1" applyNumberFormat="1" applyFont="1" applyFill="1" applyBorder="1" applyAlignment="1">
      <alignment horizontal="right" vertical="center" wrapText="1"/>
    </xf>
    <xf numFmtId="0" fontId="34" fillId="2" borderId="2" xfId="10" applyFont="1" applyFill="1" applyBorder="1" applyAlignment="1">
      <alignment horizontal="center" vertical="center"/>
    </xf>
    <xf numFmtId="1" fontId="7" fillId="2" borderId="2" xfId="2" applyNumberFormat="1" applyFont="1" applyFill="1" applyBorder="1" applyAlignment="1">
      <alignment vertical="center" wrapText="1"/>
    </xf>
    <xf numFmtId="0" fontId="32" fillId="2" borderId="2" xfId="20" applyFont="1" applyFill="1" applyBorder="1" applyAlignment="1">
      <alignment horizontal="center" vertical="center" wrapText="1"/>
    </xf>
    <xf numFmtId="3" fontId="32" fillId="2" borderId="2" xfId="20" quotePrefix="1" applyNumberFormat="1" applyFont="1" applyFill="1" applyBorder="1" applyAlignment="1">
      <alignment horizontal="center" vertical="center" wrapText="1"/>
    </xf>
    <xf numFmtId="166" fontId="9" fillId="2" borderId="2" xfId="1" quotePrefix="1" applyNumberFormat="1" applyFont="1" applyFill="1" applyBorder="1" applyAlignment="1">
      <alignment horizontal="right" vertical="center" wrapText="1"/>
    </xf>
    <xf numFmtId="1" fontId="32" fillId="2" borderId="0" xfId="2" applyNumberFormat="1" applyFont="1" applyFill="1" applyBorder="1" applyAlignment="1">
      <alignment vertical="center" wrapText="1"/>
    </xf>
    <xf numFmtId="3" fontId="32" fillId="2" borderId="2" xfId="20" applyNumberFormat="1" applyFont="1" applyFill="1" applyBorder="1" applyAlignment="1">
      <alignment horizontal="center" vertical="center" wrapText="1"/>
    </xf>
    <xf numFmtId="0" fontId="32" fillId="2" borderId="2" xfId="20" applyFont="1" applyFill="1" applyBorder="1" applyAlignment="1">
      <alignment horizontal="left" vertical="center" wrapText="1"/>
    </xf>
    <xf numFmtId="166" fontId="9" fillId="2" borderId="2" xfId="1" applyNumberFormat="1" applyFont="1" applyFill="1" applyBorder="1" applyAlignment="1">
      <alignment horizontal="right" vertical="center"/>
    </xf>
    <xf numFmtId="166" fontId="32" fillId="2" borderId="2" xfId="1" applyNumberFormat="1" applyFont="1" applyFill="1" applyBorder="1" applyAlignment="1">
      <alignment horizontal="right" vertical="center" wrapText="1"/>
    </xf>
    <xf numFmtId="166" fontId="32" fillId="2" borderId="2" xfId="1" quotePrefix="1" applyNumberFormat="1" applyFont="1" applyFill="1" applyBorder="1" applyAlignment="1">
      <alignment horizontal="center" vertical="center" wrapText="1"/>
    </xf>
    <xf numFmtId="166" fontId="32" fillId="2" borderId="2" xfId="1" quotePrefix="1" applyNumberFormat="1" applyFont="1" applyFill="1" applyBorder="1" applyAlignment="1">
      <alignment vertical="center" wrapText="1"/>
    </xf>
    <xf numFmtId="3" fontId="32" fillId="2" borderId="10" xfId="20" applyNumberFormat="1" applyFont="1" applyFill="1" applyBorder="1" applyAlignment="1">
      <alignment horizontal="center" vertical="center" wrapText="1"/>
    </xf>
    <xf numFmtId="166" fontId="32" fillId="2" borderId="6" xfId="1" quotePrefix="1" applyNumberFormat="1" applyFont="1" applyFill="1" applyBorder="1" applyAlignment="1">
      <alignment horizontal="right" vertical="center" wrapText="1"/>
    </xf>
    <xf numFmtId="166" fontId="9" fillId="2" borderId="6" xfId="1" quotePrefix="1" applyNumberFormat="1" applyFont="1" applyFill="1" applyBorder="1" applyAlignment="1">
      <alignment horizontal="right" vertical="center" wrapText="1"/>
    </xf>
    <xf numFmtId="1" fontId="9" fillId="2" borderId="10" xfId="2" applyNumberFormat="1" applyFont="1" applyFill="1" applyBorder="1" applyAlignment="1">
      <alignment vertical="center"/>
    </xf>
    <xf numFmtId="1" fontId="9" fillId="2" borderId="11" xfId="2" applyNumberFormat="1" applyFont="1" applyFill="1" applyBorder="1" applyAlignment="1">
      <alignment vertical="center"/>
    </xf>
    <xf numFmtId="3" fontId="32" fillId="2" borderId="2" xfId="2" applyNumberFormat="1" applyFont="1" applyFill="1" applyBorder="1" applyAlignment="1">
      <alignment horizontal="left" vertical="center" wrapText="1"/>
    </xf>
    <xf numFmtId="167" fontId="8" fillId="2" borderId="2" xfId="10" applyNumberFormat="1" applyFont="1" applyFill="1" applyBorder="1" applyAlignment="1">
      <alignment horizontal="center" vertical="center" wrapText="1"/>
    </xf>
    <xf numFmtId="1" fontId="25" fillId="2" borderId="2" xfId="2" applyNumberFormat="1" applyFont="1" applyFill="1" applyBorder="1" applyAlignment="1">
      <alignment horizontal="center" vertical="center" wrapText="1"/>
    </xf>
    <xf numFmtId="167" fontId="8" fillId="2" borderId="2" xfId="10" applyNumberFormat="1" applyFont="1" applyFill="1" applyBorder="1" applyAlignment="1">
      <alignment horizontal="right" vertical="center" wrapText="1"/>
    </xf>
    <xf numFmtId="3" fontId="8" fillId="2" borderId="0" xfId="2" applyNumberFormat="1" applyFont="1" applyFill="1" applyBorder="1" applyAlignment="1">
      <alignment horizontal="right" vertical="center" wrapText="1"/>
    </xf>
    <xf numFmtId="167" fontId="40" fillId="4" borderId="2" xfId="10" applyNumberFormat="1" applyFont="1" applyFill="1" applyBorder="1" applyAlignment="1">
      <alignment horizontal="right" vertical="center" wrapText="1"/>
    </xf>
    <xf numFmtId="166" fontId="40" fillId="4" borderId="2" xfId="1" quotePrefix="1" applyNumberFormat="1" applyFont="1" applyFill="1" applyBorder="1" applyAlignment="1">
      <alignment horizontal="right" vertical="center" wrapText="1"/>
    </xf>
    <xf numFmtId="166" fontId="39" fillId="2" borderId="2" xfId="1" applyNumberFormat="1" applyFont="1" applyFill="1" applyBorder="1" applyAlignment="1">
      <alignment horizontal="right" vertical="center"/>
    </xf>
    <xf numFmtId="1" fontId="14" fillId="2" borderId="2" xfId="2" applyNumberFormat="1" applyFont="1" applyFill="1" applyBorder="1" applyAlignment="1">
      <alignment horizontal="center" vertical="center" wrapText="1"/>
    </xf>
    <xf numFmtId="165" fontId="40" fillId="2" borderId="2" xfId="1" quotePrefix="1" applyNumberFormat="1" applyFont="1" applyFill="1" applyBorder="1" applyAlignment="1">
      <alignment horizontal="right" vertical="center" wrapText="1"/>
    </xf>
    <xf numFmtId="165" fontId="40" fillId="2" borderId="2" xfId="3" quotePrefix="1" applyNumberFormat="1" applyFont="1" applyFill="1" applyBorder="1" applyAlignment="1">
      <alignment vertical="center" wrapText="1"/>
    </xf>
    <xf numFmtId="1" fontId="34" fillId="2" borderId="2" xfId="2" quotePrefix="1" applyNumberFormat="1" applyFont="1" applyFill="1" applyBorder="1" applyAlignment="1">
      <alignment horizontal="center" vertical="center"/>
    </xf>
    <xf numFmtId="166" fontId="34" fillId="2" borderId="2" xfId="3" quotePrefix="1" applyNumberFormat="1" applyFont="1" applyFill="1" applyBorder="1" applyAlignment="1">
      <alignment vertical="center" wrapText="1"/>
    </xf>
    <xf numFmtId="165" fontId="34" fillId="2" borderId="2" xfId="3" quotePrefix="1" applyNumberFormat="1" applyFont="1" applyFill="1" applyBorder="1" applyAlignment="1">
      <alignment vertical="center" wrapText="1"/>
    </xf>
    <xf numFmtId="1" fontId="7" fillId="2" borderId="2" xfId="2" applyNumberFormat="1" applyFont="1" applyFill="1" applyBorder="1" applyAlignment="1">
      <alignment horizontal="center" vertical="center" wrapText="1"/>
    </xf>
    <xf numFmtId="165" fontId="8" fillId="2" borderId="2" xfId="3" quotePrefix="1" applyNumberFormat="1" applyFont="1" applyFill="1" applyBorder="1" applyAlignment="1">
      <alignment vertical="center" wrapText="1"/>
    </xf>
    <xf numFmtId="167" fontId="50" fillId="2" borderId="2" xfId="2" quotePrefix="1" applyNumberFormat="1" applyFont="1" applyFill="1" applyBorder="1" applyAlignment="1">
      <alignment horizontal="right" vertical="center" wrapText="1"/>
    </xf>
    <xf numFmtId="170" fontId="32" fillId="2" borderId="2" xfId="2" applyNumberFormat="1" applyFont="1" applyFill="1" applyBorder="1" applyAlignment="1">
      <alignment horizontal="center" vertical="center" wrapText="1"/>
    </xf>
    <xf numFmtId="3" fontId="8" fillId="2" borderId="2" xfId="2" applyNumberFormat="1" applyFont="1" applyFill="1" applyBorder="1" applyAlignment="1">
      <alignment horizontal="right" vertical="center"/>
    </xf>
    <xf numFmtId="3" fontId="32" fillId="2" borderId="2" xfId="2" quotePrefix="1" applyNumberFormat="1" applyFont="1" applyFill="1" applyBorder="1" applyAlignment="1">
      <alignment horizontal="center" vertical="center" wrapText="1"/>
    </xf>
    <xf numFmtId="167" fontId="31" fillId="2" borderId="2" xfId="2" quotePrefix="1" applyNumberFormat="1" applyFont="1" applyFill="1" applyBorder="1" applyAlignment="1">
      <alignment horizontal="right" vertical="center" wrapText="1"/>
    </xf>
    <xf numFmtId="167" fontId="11" fillId="2" borderId="2" xfId="2" quotePrefix="1" applyNumberFormat="1" applyFont="1" applyFill="1" applyBorder="1" applyAlignment="1">
      <alignment horizontal="right" vertical="center" wrapText="1"/>
    </xf>
    <xf numFmtId="3" fontId="50" fillId="2" borderId="2" xfId="2" quotePrefix="1" applyNumberFormat="1" applyFont="1" applyFill="1" applyBorder="1" applyAlignment="1">
      <alignment horizontal="right" vertical="center" wrapText="1"/>
    </xf>
    <xf numFmtId="1" fontId="8" fillId="2" borderId="2" xfId="0" applyNumberFormat="1" applyFont="1" applyFill="1" applyBorder="1" applyAlignment="1">
      <alignment vertical="center" wrapText="1"/>
    </xf>
    <xf numFmtId="1" fontId="21" fillId="2" borderId="2" xfId="3" quotePrefix="1" applyNumberFormat="1" applyFont="1" applyFill="1" applyBorder="1" applyAlignment="1">
      <alignment vertical="center" wrapText="1"/>
    </xf>
    <xf numFmtId="165" fontId="7" fillId="2" borderId="2" xfId="3" quotePrefix="1" applyNumberFormat="1" applyFont="1" applyFill="1" applyBorder="1" applyAlignment="1">
      <alignment horizontal="center" vertical="center" wrapText="1"/>
    </xf>
    <xf numFmtId="167" fontId="51" fillId="2" borderId="2" xfId="5" quotePrefix="1" applyNumberFormat="1" applyFont="1" applyFill="1" applyBorder="1" applyAlignment="1">
      <alignment horizontal="left" vertical="center" wrapText="1"/>
    </xf>
    <xf numFmtId="167" fontId="25" fillId="2" borderId="2" xfId="2" quotePrefix="1" applyNumberFormat="1" applyFont="1" applyFill="1" applyBorder="1" applyAlignment="1">
      <alignment horizontal="center" vertical="center" wrapText="1"/>
    </xf>
    <xf numFmtId="3" fontId="21" fillId="2" borderId="2" xfId="2" applyNumberFormat="1" applyFont="1" applyFill="1" applyBorder="1" applyAlignment="1">
      <alignment horizontal="right" vertical="center"/>
    </xf>
    <xf numFmtId="167" fontId="50" fillId="2" borderId="2" xfId="0" applyNumberFormat="1" applyFont="1" applyFill="1" applyBorder="1" applyAlignment="1">
      <alignment horizontal="center" vertical="center" wrapText="1"/>
    </xf>
    <xf numFmtId="3" fontId="50" fillId="2" borderId="2" xfId="5" applyNumberFormat="1" applyFont="1" applyFill="1" applyBorder="1" applyAlignment="1">
      <alignment horizontal="right" vertical="center" wrapText="1"/>
    </xf>
    <xf numFmtId="167" fontId="50" fillId="2" borderId="2" xfId="0" applyNumberFormat="1" applyFont="1" applyFill="1" applyBorder="1" applyAlignment="1">
      <alignment horizontal="justify" vertical="center" wrapText="1"/>
    </xf>
    <xf numFmtId="3" fontId="52" fillId="2" borderId="6" xfId="5" applyNumberFormat="1" applyFont="1" applyFill="1" applyBorder="1" applyAlignment="1">
      <alignment horizontal="right" vertical="center" wrapText="1"/>
    </xf>
    <xf numFmtId="4" fontId="39" fillId="2" borderId="2" xfId="3" quotePrefix="1" applyNumberFormat="1" applyFont="1" applyFill="1" applyBorder="1" applyAlignment="1">
      <alignment vertical="center" wrapText="1"/>
    </xf>
    <xf numFmtId="1" fontId="39" fillId="2" borderId="2" xfId="2" quotePrefix="1" applyNumberFormat="1" applyFont="1" applyFill="1" applyBorder="1" applyAlignment="1">
      <alignment horizontal="center" vertical="center"/>
    </xf>
    <xf numFmtId="1" fontId="53" fillId="2" borderId="2" xfId="2" applyNumberFormat="1" applyFont="1" applyFill="1" applyBorder="1" applyAlignment="1">
      <alignment horizontal="center" vertical="center" wrapText="1"/>
    </xf>
    <xf numFmtId="4" fontId="39" fillId="2" borderId="2" xfId="2" applyNumberFormat="1" applyFont="1" applyFill="1" applyBorder="1" applyAlignment="1">
      <alignment horizontal="right" vertical="center"/>
    </xf>
    <xf numFmtId="165" fontId="53" fillId="2" borderId="2" xfId="3" quotePrefix="1" applyNumberFormat="1" applyFont="1" applyFill="1" applyBorder="1" applyAlignment="1">
      <alignment vertical="center" wrapText="1"/>
    </xf>
    <xf numFmtId="1" fontId="54" fillId="2" borderId="2" xfId="2" applyNumberFormat="1" applyFont="1" applyFill="1" applyBorder="1" applyAlignment="1">
      <alignment horizontal="center" vertical="center" wrapText="1"/>
    </xf>
    <xf numFmtId="1" fontId="53" fillId="2" borderId="0" xfId="2" applyNumberFormat="1" applyFont="1" applyFill="1" applyAlignment="1">
      <alignment vertical="center"/>
    </xf>
    <xf numFmtId="165" fontId="53" fillId="2" borderId="0" xfId="1" applyNumberFormat="1" applyFont="1" applyFill="1" applyAlignment="1">
      <alignment vertical="center"/>
    </xf>
    <xf numFmtId="167" fontId="8" fillId="2" borderId="2" xfId="0" applyNumberFormat="1" applyFont="1" applyFill="1" applyBorder="1" applyAlignment="1">
      <alignment horizontal="right" vertical="center" wrapText="1"/>
    </xf>
    <xf numFmtId="167" fontId="39" fillId="2" borderId="2" xfId="0" applyNumberFormat="1" applyFont="1" applyFill="1" applyBorder="1" applyAlignment="1">
      <alignment horizontal="right" vertical="center" wrapText="1"/>
    </xf>
    <xf numFmtId="167" fontId="39" fillId="2" borderId="2" xfId="3" quotePrefix="1" applyNumberFormat="1" applyFont="1" applyFill="1" applyBorder="1" applyAlignment="1">
      <alignment vertical="center" wrapText="1"/>
    </xf>
    <xf numFmtId="167" fontId="8" fillId="2" borderId="2" xfId="2" applyNumberFormat="1" applyFont="1" applyFill="1" applyBorder="1" applyAlignment="1">
      <alignment horizontal="right" vertical="center"/>
    </xf>
    <xf numFmtId="1" fontId="49" fillId="2" borderId="2" xfId="2" applyNumberFormat="1" applyFont="1" applyFill="1" applyBorder="1" applyAlignment="1">
      <alignment horizontal="right" vertical="center" wrapText="1"/>
    </xf>
    <xf numFmtId="166" fontId="21" fillId="3" borderId="2" xfId="1" quotePrefix="1" applyNumberFormat="1" applyFont="1" applyFill="1" applyBorder="1" applyAlignment="1">
      <alignment horizontal="right" vertical="center" wrapText="1"/>
    </xf>
    <xf numFmtId="3" fontId="23" fillId="2" borderId="0" xfId="2" applyNumberFormat="1" applyFont="1" applyFill="1" applyBorder="1" applyAlignment="1">
      <alignment horizontal="center" vertical="center" wrapText="1"/>
    </xf>
    <xf numFmtId="1" fontId="14" fillId="2" borderId="2" xfId="2" applyNumberFormat="1" applyFont="1" applyFill="1" applyBorder="1" applyAlignment="1">
      <alignment horizontal="center" vertical="center" wrapText="1"/>
    </xf>
    <xf numFmtId="166" fontId="21" fillId="5" borderId="2" xfId="1" quotePrefix="1" applyNumberFormat="1" applyFont="1" applyFill="1" applyBorder="1" applyAlignment="1">
      <alignment horizontal="right" vertical="center" wrapText="1"/>
    </xf>
    <xf numFmtId="3" fontId="50" fillId="2" borderId="2" xfId="0" applyNumberFormat="1" applyFont="1" applyFill="1" applyBorder="1" applyAlignment="1">
      <alignment horizontal="center" vertical="center"/>
    </xf>
    <xf numFmtId="1" fontId="20" fillId="2" borderId="2" xfId="2" applyNumberFormat="1" applyFont="1" applyFill="1" applyBorder="1" applyAlignment="1">
      <alignment horizontal="center" vertical="center" wrapText="1"/>
    </xf>
    <xf numFmtId="1" fontId="53" fillId="2" borderId="0" xfId="2" applyNumberFormat="1" applyFont="1" applyFill="1" applyBorder="1" applyAlignment="1">
      <alignment horizontal="center" vertical="center" wrapText="1"/>
    </xf>
    <xf numFmtId="167" fontId="21" fillId="2" borderId="2" xfId="1" quotePrefix="1" applyNumberFormat="1" applyFont="1" applyFill="1" applyBorder="1" applyAlignment="1">
      <alignment horizontal="right" vertical="center" wrapText="1"/>
    </xf>
    <xf numFmtId="166" fontId="8" fillId="2" borderId="2" xfId="2" applyNumberFormat="1" applyFont="1" applyFill="1" applyBorder="1" applyAlignment="1">
      <alignment horizontal="right" vertical="center"/>
    </xf>
    <xf numFmtId="1" fontId="14" fillId="2" borderId="2" xfId="2" applyNumberFormat="1" applyFont="1" applyFill="1" applyBorder="1" applyAlignment="1">
      <alignment horizontal="center" vertical="center" wrapText="1"/>
    </xf>
    <xf numFmtId="167" fontId="21" fillId="3" borderId="0" xfId="2" applyNumberFormat="1" applyFont="1" applyFill="1" applyAlignment="1">
      <alignment horizontal="right" vertical="center"/>
    </xf>
    <xf numFmtId="166" fontId="8" fillId="6" borderId="2" xfId="1" quotePrefix="1" applyNumberFormat="1" applyFont="1" applyFill="1" applyBorder="1" applyAlignment="1">
      <alignment horizontal="right" vertical="center" wrapText="1"/>
    </xf>
    <xf numFmtId="166" fontId="8" fillId="7" borderId="2" xfId="1" quotePrefix="1" applyNumberFormat="1" applyFont="1" applyFill="1" applyBorder="1" applyAlignment="1">
      <alignment horizontal="right" vertical="center" wrapText="1"/>
    </xf>
    <xf numFmtId="166" fontId="8" fillId="8" borderId="2" xfId="1" quotePrefix="1" applyNumberFormat="1" applyFont="1" applyFill="1" applyBorder="1" applyAlignment="1">
      <alignment horizontal="center" vertical="center" wrapText="1"/>
    </xf>
    <xf numFmtId="166" fontId="8" fillId="8" borderId="2" xfId="1" quotePrefix="1" applyNumberFormat="1" applyFont="1" applyFill="1" applyBorder="1" applyAlignment="1">
      <alignment horizontal="right" vertical="center" wrapText="1"/>
    </xf>
    <xf numFmtId="166" fontId="8" fillId="6" borderId="2" xfId="1" quotePrefix="1" applyNumberFormat="1" applyFont="1" applyFill="1" applyBorder="1" applyAlignment="1">
      <alignment horizontal="center" vertical="center" wrapText="1"/>
    </xf>
    <xf numFmtId="166" fontId="39" fillId="6" borderId="2" xfId="1" quotePrefix="1" applyNumberFormat="1" applyFont="1" applyFill="1" applyBorder="1" applyAlignment="1">
      <alignment horizontal="center" vertical="center" wrapText="1"/>
    </xf>
    <xf numFmtId="166" fontId="39" fillId="6" borderId="2" xfId="1" quotePrefix="1" applyNumberFormat="1" applyFont="1" applyFill="1" applyBorder="1" applyAlignment="1">
      <alignment horizontal="right" vertical="center" wrapText="1"/>
    </xf>
    <xf numFmtId="166" fontId="21" fillId="6" borderId="2" xfId="1" quotePrefix="1" applyNumberFormat="1" applyFont="1" applyFill="1" applyBorder="1" applyAlignment="1">
      <alignment horizontal="right" vertical="center" wrapText="1"/>
    </xf>
    <xf numFmtId="166" fontId="8" fillId="9" borderId="2" xfId="1" quotePrefix="1" applyNumberFormat="1" applyFont="1" applyFill="1" applyBorder="1" applyAlignment="1">
      <alignment horizontal="right" vertical="center" wrapText="1"/>
    </xf>
    <xf numFmtId="168" fontId="8" fillId="9" borderId="0" xfId="2" applyNumberFormat="1" applyFont="1" applyFill="1" applyAlignment="1">
      <alignment vertical="center"/>
    </xf>
    <xf numFmtId="4" fontId="38" fillId="2" borderId="0" xfId="2" applyNumberFormat="1" applyFont="1" applyFill="1" applyBorder="1" applyAlignment="1">
      <alignment vertical="center" wrapText="1"/>
    </xf>
    <xf numFmtId="166" fontId="39" fillId="8" borderId="2" xfId="1" quotePrefix="1" applyNumberFormat="1" applyFont="1" applyFill="1" applyBorder="1" applyAlignment="1">
      <alignment horizontal="right" vertical="center" wrapText="1"/>
    </xf>
    <xf numFmtId="167" fontId="39" fillId="8" borderId="2" xfId="3" quotePrefix="1" applyNumberFormat="1" applyFont="1" applyFill="1" applyBorder="1" applyAlignment="1">
      <alignment vertical="center" wrapText="1"/>
    </xf>
    <xf numFmtId="167" fontId="39" fillId="8" borderId="2" xfId="0" applyNumberFormat="1" applyFont="1" applyFill="1" applyBorder="1" applyAlignment="1">
      <alignment horizontal="right" vertical="center" wrapText="1"/>
    </xf>
    <xf numFmtId="1" fontId="55" fillId="2" borderId="2" xfId="2" applyNumberFormat="1" applyFont="1" applyFill="1" applyBorder="1" applyAlignment="1">
      <alignment horizontal="center" vertical="center" wrapText="1"/>
    </xf>
    <xf numFmtId="4" fontId="34" fillId="2" borderId="2" xfId="0" applyNumberFormat="1" applyFont="1" applyFill="1" applyBorder="1" applyAlignment="1">
      <alignment horizontal="right" vertical="center" wrapText="1"/>
    </xf>
    <xf numFmtId="165" fontId="55" fillId="2" borderId="2" xfId="3" quotePrefix="1" applyNumberFormat="1" applyFont="1" applyFill="1" applyBorder="1" applyAlignment="1">
      <alignment vertical="center" wrapText="1"/>
    </xf>
    <xf numFmtId="1" fontId="56" fillId="2" borderId="2" xfId="2" applyNumberFormat="1" applyFont="1" applyFill="1" applyBorder="1" applyAlignment="1">
      <alignment horizontal="center" vertical="center" wrapText="1"/>
    </xf>
    <xf numFmtId="1" fontId="55" fillId="2" borderId="0" xfId="2" applyNumberFormat="1" applyFont="1" applyFill="1" applyBorder="1" applyAlignment="1">
      <alignment horizontal="center" vertical="center" wrapText="1"/>
    </xf>
    <xf numFmtId="1" fontId="55" fillId="2" borderId="0" xfId="2" applyNumberFormat="1" applyFont="1" applyFill="1" applyAlignment="1">
      <alignment vertical="center"/>
    </xf>
    <xf numFmtId="165" fontId="55" fillId="2" borderId="0" xfId="1" applyNumberFormat="1" applyFont="1" applyFill="1" applyAlignment="1">
      <alignment vertical="center"/>
    </xf>
    <xf numFmtId="167" fontId="34" fillId="2" borderId="2" xfId="2" applyNumberFormat="1" applyFont="1" applyFill="1" applyBorder="1" applyAlignment="1">
      <alignment horizontal="right" vertical="center"/>
    </xf>
    <xf numFmtId="3" fontId="32" fillId="2" borderId="2" xfId="2" applyNumberFormat="1" applyFont="1" applyFill="1" applyBorder="1" applyAlignment="1">
      <alignment horizontal="right" vertical="center"/>
    </xf>
    <xf numFmtId="167" fontId="39" fillId="3" borderId="2" xfId="0" applyNumberFormat="1" applyFont="1" applyFill="1" applyBorder="1" applyAlignment="1">
      <alignment horizontal="right" vertical="center" wrapText="1"/>
    </xf>
    <xf numFmtId="167" fontId="39" fillId="3" borderId="2" xfId="3" quotePrefix="1" applyNumberFormat="1" applyFont="1" applyFill="1" applyBorder="1" applyAlignment="1">
      <alignment vertical="center" wrapText="1"/>
    </xf>
    <xf numFmtId="1" fontId="13" fillId="2" borderId="0" xfId="2" applyNumberFormat="1" applyFont="1" applyFill="1" applyAlignment="1">
      <alignment horizontal="right" vertical="center"/>
    </xf>
    <xf numFmtId="1" fontId="8" fillId="2" borderId="3" xfId="2" applyNumberFormat="1" applyFont="1" applyFill="1" applyBorder="1" applyAlignment="1">
      <alignment vertical="center"/>
    </xf>
    <xf numFmtId="1" fontId="8" fillId="2" borderId="4" xfId="2" applyNumberFormat="1" applyFont="1" applyFill="1" applyBorder="1" applyAlignment="1">
      <alignment vertical="center"/>
    </xf>
    <xf numFmtId="1" fontId="8" fillId="2" borderId="5" xfId="2" applyNumberFormat="1" applyFont="1" applyFill="1" applyBorder="1" applyAlignment="1">
      <alignment vertical="center"/>
    </xf>
    <xf numFmtId="3" fontId="8" fillId="2" borderId="0" xfId="2" applyNumberFormat="1" applyFont="1" applyFill="1" applyAlignment="1">
      <alignment horizontal="center" vertical="center" wrapText="1"/>
    </xf>
    <xf numFmtId="3" fontId="21" fillId="2" borderId="0" xfId="2" applyNumberFormat="1" applyFont="1" applyFill="1" applyAlignment="1">
      <alignment horizontal="center" vertical="center" wrapText="1"/>
    </xf>
    <xf numFmtId="3" fontId="9" fillId="2" borderId="2" xfId="2" applyNumberFormat="1" applyFont="1" applyFill="1" applyBorder="1" applyAlignment="1">
      <alignment horizontal="center" vertical="center" wrapText="1"/>
    </xf>
    <xf numFmtId="3" fontId="38" fillId="2" borderId="0" xfId="2" quotePrefix="1" applyNumberFormat="1" applyFont="1" applyFill="1" applyAlignment="1">
      <alignment horizontal="center" vertical="center" wrapText="1"/>
    </xf>
    <xf numFmtId="3" fontId="8" fillId="2" borderId="0" xfId="2" applyNumberFormat="1" applyFont="1" applyFill="1" applyAlignment="1">
      <alignment vertical="center" wrapText="1"/>
    </xf>
    <xf numFmtId="3" fontId="38" fillId="2" borderId="0" xfId="2" applyNumberFormat="1" applyFont="1" applyFill="1" applyAlignment="1">
      <alignment vertical="center" wrapText="1"/>
    </xf>
    <xf numFmtId="49" fontId="58" fillId="3" borderId="2" xfId="2" applyNumberFormat="1" applyFont="1" applyFill="1" applyBorder="1" applyAlignment="1">
      <alignment horizontal="center" vertical="center"/>
    </xf>
    <xf numFmtId="1" fontId="58" fillId="3" borderId="2" xfId="2" applyNumberFormat="1" applyFont="1" applyFill="1" applyBorder="1" applyAlignment="1">
      <alignment horizontal="left" vertical="center" wrapText="1"/>
    </xf>
    <xf numFmtId="1" fontId="58" fillId="3" borderId="2" xfId="2" applyNumberFormat="1" applyFont="1" applyFill="1" applyBorder="1" applyAlignment="1">
      <alignment horizontal="center" vertical="center" wrapText="1"/>
    </xf>
    <xf numFmtId="166" fontId="58" fillId="3" borderId="2" xfId="3" quotePrefix="1" applyNumberFormat="1" applyFont="1" applyFill="1" applyBorder="1" applyAlignment="1">
      <alignment horizontal="right" vertical="center" wrapText="1"/>
    </xf>
    <xf numFmtId="167" fontId="58" fillId="3" borderId="2" xfId="3" quotePrefix="1" applyNumberFormat="1" applyFont="1" applyFill="1" applyBorder="1" applyAlignment="1">
      <alignment vertical="center" wrapText="1"/>
    </xf>
    <xf numFmtId="167" fontId="58" fillId="3" borderId="2" xfId="3" quotePrefix="1" applyNumberFormat="1" applyFont="1" applyFill="1" applyBorder="1" applyAlignment="1">
      <alignment horizontal="right" vertical="center" wrapText="1"/>
    </xf>
    <xf numFmtId="171" fontId="9" fillId="3" borderId="2" xfId="1" applyNumberFormat="1" applyFont="1" applyFill="1" applyBorder="1" applyAlignment="1">
      <alignment horizontal="center" vertical="center"/>
    </xf>
    <xf numFmtId="171" fontId="40" fillId="3" borderId="0" xfId="1" applyNumberFormat="1" applyFont="1" applyFill="1" applyAlignment="1">
      <alignment vertical="center" wrapText="1"/>
    </xf>
    <xf numFmtId="1" fontId="21" fillId="3" borderId="0" xfId="2" applyNumberFormat="1" applyFont="1" applyFill="1" applyAlignment="1">
      <alignment vertical="center"/>
    </xf>
    <xf numFmtId="49" fontId="58" fillId="10" borderId="2" xfId="2" applyNumberFormat="1" applyFont="1" applyFill="1" applyBorder="1" applyAlignment="1">
      <alignment horizontal="center" vertical="center"/>
    </xf>
    <xf numFmtId="1" fontId="58" fillId="10" borderId="2" xfId="2" applyNumberFormat="1" applyFont="1" applyFill="1" applyBorder="1" applyAlignment="1">
      <alignment horizontal="left" vertical="center" wrapText="1"/>
    </xf>
    <xf numFmtId="1" fontId="58" fillId="10" borderId="2" xfId="2" applyNumberFormat="1" applyFont="1" applyFill="1" applyBorder="1" applyAlignment="1">
      <alignment horizontal="center" vertical="center" wrapText="1"/>
    </xf>
    <xf numFmtId="166" fontId="58" fillId="10" borderId="2" xfId="3" quotePrefix="1" applyNumberFormat="1" applyFont="1" applyFill="1" applyBorder="1" applyAlignment="1">
      <alignment horizontal="right" vertical="center" wrapText="1"/>
    </xf>
    <xf numFmtId="166" fontId="58" fillId="10" borderId="2" xfId="3" applyNumberFormat="1" applyFont="1" applyFill="1" applyBorder="1" applyAlignment="1">
      <alignment horizontal="right" vertical="center"/>
    </xf>
    <xf numFmtId="166" fontId="21" fillId="10" borderId="2" xfId="3" quotePrefix="1" applyNumberFormat="1" applyFont="1" applyFill="1" applyBorder="1" applyAlignment="1">
      <alignment horizontal="right" vertical="center" wrapText="1"/>
    </xf>
    <xf numFmtId="1" fontId="9" fillId="10" borderId="2" xfId="2" applyNumberFormat="1" applyFont="1" applyFill="1" applyBorder="1" applyAlignment="1">
      <alignment horizontal="center" vertical="center"/>
    </xf>
    <xf numFmtId="1" fontId="21" fillId="10" borderId="0" xfId="2" applyNumberFormat="1" applyFont="1" applyFill="1" applyAlignment="1">
      <alignment vertical="center"/>
    </xf>
    <xf numFmtId="49" fontId="59" fillId="0" borderId="2" xfId="2" applyNumberFormat="1" applyFont="1" applyBorder="1" applyAlignment="1">
      <alignment horizontal="center" vertical="center"/>
    </xf>
    <xf numFmtId="1" fontId="59" fillId="0" borderId="2" xfId="2" applyNumberFormat="1" applyFont="1" applyBorder="1" applyAlignment="1">
      <alignment horizontal="left" vertical="center" wrapText="1"/>
    </xf>
    <xf numFmtId="1" fontId="59" fillId="0" borderId="2" xfId="2" applyNumberFormat="1" applyFont="1" applyBorder="1" applyAlignment="1">
      <alignment horizontal="center" vertical="center" wrapText="1"/>
    </xf>
    <xf numFmtId="166" fontId="59" fillId="0" borderId="2" xfId="3" applyNumberFormat="1" applyFont="1" applyFill="1" applyBorder="1" applyAlignment="1">
      <alignment horizontal="right" vertical="center"/>
    </xf>
    <xf numFmtId="166" fontId="34" fillId="2" borderId="2" xfId="3" applyNumberFormat="1" applyFont="1" applyFill="1" applyBorder="1" applyAlignment="1">
      <alignment horizontal="right" vertical="center"/>
    </xf>
    <xf numFmtId="49" fontId="60" fillId="0" borderId="2" xfId="2" applyNumberFormat="1" applyFont="1" applyBorder="1" applyAlignment="1">
      <alignment horizontal="center" vertical="center"/>
    </xf>
    <xf numFmtId="1" fontId="60" fillId="0" borderId="2" xfId="2" applyNumberFormat="1" applyFont="1" applyBorder="1" applyAlignment="1">
      <alignment horizontal="left" vertical="center" wrapText="1"/>
    </xf>
    <xf numFmtId="1" fontId="60" fillId="0" borderId="2" xfId="2" applyNumberFormat="1" applyFont="1" applyBorder="1" applyAlignment="1">
      <alignment horizontal="center" vertical="center" wrapText="1"/>
    </xf>
    <xf numFmtId="0" fontId="60" fillId="0" borderId="2" xfId="4" applyFont="1" applyBorder="1" applyAlignment="1">
      <alignment horizontal="center" vertical="center" wrapText="1"/>
    </xf>
    <xf numFmtId="166" fontId="60" fillId="0" borderId="2" xfId="3" applyNumberFormat="1" applyFont="1" applyFill="1" applyBorder="1" applyAlignment="1">
      <alignment horizontal="right" vertical="center"/>
    </xf>
    <xf numFmtId="166" fontId="60" fillId="0" borderId="2" xfId="3" quotePrefix="1" applyNumberFormat="1" applyFont="1" applyFill="1" applyBorder="1" applyAlignment="1">
      <alignment horizontal="right" vertical="center" wrapText="1"/>
    </xf>
    <xf numFmtId="166" fontId="60" fillId="0" borderId="2" xfId="3" applyNumberFormat="1" applyFont="1" applyFill="1" applyBorder="1" applyAlignment="1">
      <alignment vertical="center"/>
    </xf>
    <xf numFmtId="165" fontId="32" fillId="2" borderId="2" xfId="3" applyNumberFormat="1" applyFont="1" applyFill="1" applyBorder="1" applyAlignment="1">
      <alignment horizontal="center" vertical="center"/>
    </xf>
    <xf numFmtId="1" fontId="60" fillId="0" borderId="2" xfId="5" applyNumberFormat="1" applyFont="1" applyBorder="1" applyAlignment="1">
      <alignment horizontal="center" vertical="center" wrapText="1"/>
    </xf>
    <xf numFmtId="165" fontId="7" fillId="2" borderId="2" xfId="3" applyNumberFormat="1" applyFont="1" applyFill="1" applyBorder="1" applyAlignment="1">
      <alignment horizontal="center" vertical="center"/>
    </xf>
    <xf numFmtId="14" fontId="60" fillId="0" borderId="2" xfId="4" applyNumberFormat="1" applyFont="1" applyBorder="1" applyAlignment="1">
      <alignment horizontal="center" vertical="center" wrapText="1"/>
    </xf>
    <xf numFmtId="166" fontId="58" fillId="3" borderId="2" xfId="3" applyNumberFormat="1" applyFont="1" applyFill="1" applyBorder="1" applyAlignment="1">
      <alignment horizontal="right" vertical="center"/>
    </xf>
    <xf numFmtId="167" fontId="58" fillId="3" borderId="2" xfId="3" applyNumberFormat="1" applyFont="1" applyFill="1" applyBorder="1" applyAlignment="1">
      <alignment vertical="center"/>
    </xf>
    <xf numFmtId="167" fontId="58" fillId="3" borderId="2" xfId="3" applyNumberFormat="1" applyFont="1" applyFill="1" applyBorder="1" applyAlignment="1">
      <alignment horizontal="right" vertical="center"/>
    </xf>
    <xf numFmtId="166" fontId="21" fillId="3" borderId="2" xfId="3" applyNumberFormat="1" applyFont="1" applyFill="1" applyBorder="1" applyAlignment="1">
      <alignment horizontal="right" vertical="center"/>
    </xf>
    <xf numFmtId="165" fontId="9" fillId="3" borderId="2" xfId="3" applyNumberFormat="1" applyFont="1" applyFill="1" applyBorder="1" applyAlignment="1">
      <alignment horizontal="center" vertical="center"/>
    </xf>
    <xf numFmtId="1" fontId="58" fillId="0" borderId="2" xfId="2" applyNumberFormat="1" applyFont="1" applyBorder="1" applyAlignment="1">
      <alignment horizontal="center" vertical="center" wrapText="1"/>
    </xf>
    <xf numFmtId="166" fontId="58" fillId="0" borderId="2" xfId="3" applyNumberFormat="1" applyFont="1" applyFill="1" applyBorder="1" applyAlignment="1">
      <alignment horizontal="right" vertical="center"/>
    </xf>
    <xf numFmtId="167" fontId="58" fillId="0" borderId="2" xfId="3" applyNumberFormat="1" applyFont="1" applyFill="1" applyBorder="1" applyAlignment="1">
      <alignment vertical="center"/>
    </xf>
    <xf numFmtId="167" fontId="58" fillId="0" borderId="2" xfId="3" applyNumberFormat="1" applyFont="1" applyFill="1" applyBorder="1" applyAlignment="1">
      <alignment horizontal="right" vertical="center"/>
    </xf>
    <xf numFmtId="1" fontId="44" fillId="2" borderId="2" xfId="2" applyNumberFormat="1" applyFont="1" applyFill="1" applyBorder="1" applyAlignment="1">
      <alignment horizontal="center" vertical="center" wrapText="1"/>
    </xf>
    <xf numFmtId="49" fontId="61" fillId="0" borderId="2" xfId="2" applyNumberFormat="1" applyFont="1" applyBorder="1" applyAlignment="1">
      <alignment horizontal="center" vertical="center"/>
    </xf>
    <xf numFmtId="1" fontId="61" fillId="0" borderId="2" xfId="2" applyNumberFormat="1" applyFont="1" applyBorder="1" applyAlignment="1">
      <alignment horizontal="left" vertical="center" wrapText="1"/>
    </xf>
    <xf numFmtId="1" fontId="61" fillId="0" borderId="2" xfId="2" applyNumberFormat="1" applyFont="1" applyBorder="1" applyAlignment="1">
      <alignment horizontal="center" vertical="center" wrapText="1"/>
    </xf>
    <xf numFmtId="166" fontId="61" fillId="0" borderId="2" xfId="3" applyNumberFormat="1" applyFont="1" applyFill="1" applyBorder="1" applyAlignment="1">
      <alignment horizontal="right" vertical="center"/>
    </xf>
    <xf numFmtId="166" fontId="61" fillId="0" borderId="2" xfId="3" quotePrefix="1" applyNumberFormat="1" applyFont="1" applyFill="1" applyBorder="1" applyAlignment="1">
      <alignment horizontal="center" vertical="center" wrapText="1"/>
    </xf>
    <xf numFmtId="166" fontId="61" fillId="0" borderId="2" xfId="3" quotePrefix="1" applyNumberFormat="1" applyFont="1" applyFill="1" applyBorder="1" applyAlignment="1">
      <alignment horizontal="right" vertical="center" wrapText="1"/>
    </xf>
    <xf numFmtId="166" fontId="61" fillId="0" borderId="2" xfId="3" applyNumberFormat="1" applyFont="1" applyFill="1" applyBorder="1" applyAlignment="1">
      <alignment vertical="center"/>
    </xf>
    <xf numFmtId="166" fontId="62" fillId="0" borderId="2" xfId="3" applyNumberFormat="1" applyFont="1" applyFill="1" applyBorder="1" applyAlignment="1">
      <alignment horizontal="right" vertical="center"/>
    </xf>
    <xf numFmtId="167" fontId="61" fillId="0" borderId="2" xfId="3" applyNumberFormat="1" applyFont="1" applyFill="1" applyBorder="1" applyAlignment="1">
      <alignment horizontal="right" vertical="center"/>
    </xf>
    <xf numFmtId="166" fontId="13" fillId="2" borderId="2" xfId="3" applyNumberFormat="1" applyFont="1" applyFill="1" applyBorder="1" applyAlignment="1">
      <alignment vertical="center"/>
    </xf>
    <xf numFmtId="1" fontId="13" fillId="2" borderId="0" xfId="2" applyNumberFormat="1" applyFont="1" applyFill="1" applyAlignment="1">
      <alignment vertical="center"/>
    </xf>
    <xf numFmtId="49" fontId="62" fillId="0" borderId="2" xfId="2" quotePrefix="1" applyNumberFormat="1" applyFont="1" applyBorder="1" applyAlignment="1">
      <alignment horizontal="center" vertical="center"/>
    </xf>
    <xf numFmtId="1" fontId="62" fillId="0" borderId="2" xfId="2" applyNumberFormat="1" applyFont="1" applyBorder="1" applyAlignment="1">
      <alignment horizontal="left" vertical="center" wrapText="1"/>
    </xf>
    <xf numFmtId="1" fontId="62" fillId="0" borderId="2" xfId="2" applyNumberFormat="1" applyFont="1" applyBorder="1" applyAlignment="1">
      <alignment horizontal="center" vertical="center" wrapText="1"/>
    </xf>
    <xf numFmtId="166" fontId="62" fillId="0" borderId="2" xfId="3" quotePrefix="1" applyNumberFormat="1" applyFont="1" applyFill="1" applyBorder="1" applyAlignment="1">
      <alignment horizontal="center" vertical="center" wrapText="1"/>
    </xf>
    <xf numFmtId="166" fontId="62" fillId="0" borderId="2" xfId="3" quotePrefix="1" applyNumberFormat="1" applyFont="1" applyFill="1" applyBorder="1" applyAlignment="1">
      <alignment horizontal="right" vertical="center" wrapText="1"/>
    </xf>
    <xf numFmtId="166" fontId="62" fillId="0" borderId="2" xfId="3" applyNumberFormat="1" applyFont="1" applyFill="1" applyBorder="1" applyAlignment="1">
      <alignment vertical="center"/>
    </xf>
    <xf numFmtId="167" fontId="62" fillId="0" borderId="2" xfId="3" applyNumberFormat="1" applyFont="1" applyFill="1" applyBorder="1" applyAlignment="1">
      <alignment horizontal="right" vertical="center"/>
    </xf>
    <xf numFmtId="166" fontId="62" fillId="2" borderId="2" xfId="3" applyNumberFormat="1" applyFont="1" applyFill="1" applyBorder="1" applyAlignment="1">
      <alignment vertical="center"/>
    </xf>
    <xf numFmtId="1" fontId="63" fillId="2" borderId="2" xfId="2" applyNumberFormat="1" applyFont="1" applyFill="1" applyBorder="1" applyAlignment="1">
      <alignment horizontal="center" vertical="center" wrapText="1"/>
    </xf>
    <xf numFmtId="1" fontId="62" fillId="2" borderId="0" xfId="2" applyNumberFormat="1" applyFont="1" applyFill="1" applyAlignment="1">
      <alignment vertical="center"/>
    </xf>
    <xf numFmtId="167" fontId="61" fillId="0" borderId="2" xfId="3" applyNumberFormat="1" applyFont="1" applyFill="1" applyBorder="1" applyAlignment="1">
      <alignment vertical="center"/>
    </xf>
    <xf numFmtId="1" fontId="63" fillId="2" borderId="2" xfId="2" applyNumberFormat="1" applyFont="1" applyFill="1" applyBorder="1" applyAlignment="1">
      <alignment horizontal="center" vertical="center"/>
    </xf>
    <xf numFmtId="166" fontId="60" fillId="0" borderId="2" xfId="3" quotePrefix="1" applyNumberFormat="1" applyFont="1" applyFill="1" applyBorder="1" applyAlignment="1">
      <alignment horizontal="center" vertical="center" wrapText="1"/>
    </xf>
    <xf numFmtId="166" fontId="39" fillId="0" borderId="2" xfId="3" applyNumberFormat="1" applyFont="1" applyFill="1" applyBorder="1" applyAlignment="1">
      <alignment horizontal="right" vertical="center"/>
    </xf>
    <xf numFmtId="167" fontId="60" fillId="0" borderId="2" xfId="3" applyNumberFormat="1" applyFont="1" applyFill="1" applyBorder="1" applyAlignment="1">
      <alignment horizontal="right" vertical="center"/>
    </xf>
    <xf numFmtId="166" fontId="8" fillId="2" borderId="2" xfId="3" applyNumberFormat="1" applyFont="1" applyFill="1" applyBorder="1" applyAlignment="1">
      <alignment vertical="center"/>
    </xf>
    <xf numFmtId="14" fontId="60" fillId="0" borderId="2" xfId="2" applyNumberFormat="1" applyFont="1" applyBorder="1" applyAlignment="1">
      <alignment horizontal="center" vertical="center" wrapText="1"/>
    </xf>
    <xf numFmtId="167" fontId="60" fillId="0" borderId="2" xfId="3" quotePrefix="1" applyNumberFormat="1" applyFont="1" applyFill="1" applyBorder="1" applyAlignment="1">
      <alignment horizontal="right" vertical="center" wrapText="1"/>
    </xf>
    <xf numFmtId="167" fontId="39" fillId="0" borderId="2" xfId="3" quotePrefix="1" applyNumberFormat="1" applyFont="1" applyFill="1" applyBorder="1" applyAlignment="1">
      <alignment horizontal="right" vertical="center" wrapText="1"/>
    </xf>
    <xf numFmtId="166" fontId="39" fillId="2" borderId="2" xfId="3" applyNumberFormat="1" applyFont="1" applyFill="1" applyBorder="1" applyAlignment="1">
      <alignment vertical="center"/>
    </xf>
    <xf numFmtId="1" fontId="60" fillId="0" borderId="2" xfId="2" quotePrefix="1" applyNumberFormat="1" applyFont="1" applyBorder="1" applyAlignment="1">
      <alignment vertical="center" wrapText="1"/>
    </xf>
    <xf numFmtId="1" fontId="60" fillId="0" borderId="2" xfId="2" applyNumberFormat="1" applyFont="1" applyBorder="1" applyAlignment="1">
      <alignment horizontal="center" vertical="center"/>
    </xf>
    <xf numFmtId="1" fontId="61" fillId="0" borderId="2" xfId="2" applyNumberFormat="1" applyFont="1" applyBorder="1" applyAlignment="1">
      <alignment vertical="center" wrapText="1"/>
    </xf>
    <xf numFmtId="171" fontId="58" fillId="0" borderId="2" xfId="1" applyNumberFormat="1" applyFont="1" applyFill="1" applyBorder="1" applyAlignment="1">
      <alignment horizontal="right" vertical="center" wrapText="1"/>
    </xf>
    <xf numFmtId="167" fontId="58" fillId="0" borderId="2" xfId="1" applyNumberFormat="1" applyFont="1" applyFill="1" applyBorder="1" applyAlignment="1">
      <alignment horizontal="right" vertical="center" wrapText="1"/>
    </xf>
    <xf numFmtId="1" fontId="60" fillId="0" borderId="2" xfId="2" applyNumberFormat="1" applyFont="1" applyBorder="1" applyAlignment="1">
      <alignment vertical="center" wrapText="1"/>
    </xf>
    <xf numFmtId="171" fontId="60" fillId="0" borderId="2" xfId="1" applyNumberFormat="1" applyFont="1" applyFill="1" applyBorder="1" applyAlignment="1">
      <alignment horizontal="right" vertical="center" wrapText="1"/>
    </xf>
    <xf numFmtId="167" fontId="60" fillId="0" borderId="2" xfId="1" applyNumberFormat="1" applyFont="1" applyFill="1" applyBorder="1" applyAlignment="1">
      <alignment horizontal="right" vertical="center" wrapText="1"/>
    </xf>
    <xf numFmtId="1" fontId="65" fillId="2" borderId="2" xfId="2" applyNumberFormat="1" applyFont="1" applyFill="1" applyBorder="1" applyAlignment="1">
      <alignment horizontal="center" vertical="center" wrapText="1"/>
    </xf>
    <xf numFmtId="166" fontId="13" fillId="2" borderId="2" xfId="3" applyNumberFormat="1" applyFont="1" applyFill="1" applyBorder="1" applyAlignment="1">
      <alignment horizontal="right" vertical="center"/>
    </xf>
    <xf numFmtId="1" fontId="65" fillId="2" borderId="2" xfId="2" applyNumberFormat="1" applyFont="1" applyFill="1" applyBorder="1" applyAlignment="1">
      <alignment horizontal="center" vertical="center"/>
    </xf>
    <xf numFmtId="171" fontId="39" fillId="0" borderId="2" xfId="1" applyNumberFormat="1" applyFont="1" applyFill="1" applyBorder="1" applyAlignment="1">
      <alignment horizontal="right" vertical="center" wrapText="1"/>
    </xf>
    <xf numFmtId="167" fontId="39" fillId="0" borderId="2" xfId="1" applyNumberFormat="1" applyFont="1" applyFill="1" applyBorder="1" applyAlignment="1">
      <alignment horizontal="right" vertical="center" wrapText="1"/>
    </xf>
    <xf numFmtId="166" fontId="60" fillId="0" borderId="2" xfId="0" applyNumberFormat="1" applyFont="1" applyBorder="1" applyAlignment="1">
      <alignment horizontal="right" vertical="center" wrapText="1"/>
    </xf>
    <xf numFmtId="166" fontId="60" fillId="0" borderId="2" xfId="2" quotePrefix="1" applyNumberFormat="1" applyFont="1" applyBorder="1" applyAlignment="1">
      <alignment horizontal="right" vertical="center" wrapText="1"/>
    </xf>
    <xf numFmtId="167" fontId="60" fillId="0" borderId="2" xfId="0" applyNumberFormat="1" applyFont="1" applyBorder="1" applyAlignment="1">
      <alignment horizontal="right" vertical="center" wrapText="1"/>
    </xf>
    <xf numFmtId="167" fontId="60" fillId="0" borderId="2" xfId="2" quotePrefix="1" applyNumberFormat="1" applyFont="1" applyBorder="1" applyAlignment="1">
      <alignment horizontal="right" vertical="center" wrapText="1"/>
    </xf>
    <xf numFmtId="0" fontId="32" fillId="2" borderId="2" xfId="2" applyFont="1" applyFill="1" applyBorder="1" applyAlignment="1">
      <alignment horizontal="center" vertical="center" wrapText="1"/>
    </xf>
    <xf numFmtId="167" fontId="60" fillId="0" borderId="2" xfId="0" applyNumberFormat="1" applyFont="1" applyBorder="1" applyAlignment="1">
      <alignment horizontal="justify" vertical="center" wrapText="1"/>
    </xf>
    <xf numFmtId="167" fontId="60" fillId="0" borderId="2" xfId="0" applyNumberFormat="1" applyFont="1" applyBorder="1" applyAlignment="1">
      <alignment horizontal="center" vertical="center" wrapText="1"/>
    </xf>
    <xf numFmtId="166" fontId="60" fillId="0" borderId="2" xfId="2" applyNumberFormat="1" applyFont="1" applyBorder="1" applyAlignment="1">
      <alignment vertical="center" wrapText="1"/>
    </xf>
    <xf numFmtId="167" fontId="60" fillId="0" borderId="2" xfId="2" applyNumberFormat="1" applyFont="1" applyBorder="1" applyAlignment="1">
      <alignment horizontal="right" vertical="center" wrapText="1"/>
    </xf>
    <xf numFmtId="0" fontId="58" fillId="0" borderId="2" xfId="0" applyFont="1" applyBorder="1" applyAlignment="1">
      <alignment horizontal="center" vertical="center"/>
    </xf>
    <xf numFmtId="1" fontId="58" fillId="0" borderId="2" xfId="2" applyNumberFormat="1" applyFont="1" applyBorder="1" applyAlignment="1">
      <alignment horizontal="left" vertical="center" wrapText="1"/>
    </xf>
    <xf numFmtId="0" fontId="60" fillId="0" borderId="2" xfId="0" applyFont="1" applyBorder="1" applyAlignment="1">
      <alignment horizontal="center" vertical="center"/>
    </xf>
    <xf numFmtId="166" fontId="8" fillId="2" borderId="2" xfId="2" applyNumberFormat="1" applyFont="1" applyFill="1" applyBorder="1" applyAlignment="1">
      <alignment horizontal="left" vertical="center" wrapText="1"/>
    </xf>
    <xf numFmtId="166" fontId="60" fillId="0" borderId="2" xfId="2" applyNumberFormat="1" applyFont="1" applyBorder="1" applyAlignment="1">
      <alignment horizontal="left" vertical="center" wrapText="1"/>
    </xf>
    <xf numFmtId="166" fontId="60" fillId="0" borderId="2" xfId="2" applyNumberFormat="1" applyFont="1" applyBorder="1" applyAlignment="1">
      <alignment horizontal="right" vertical="center" wrapText="1"/>
    </xf>
    <xf numFmtId="167" fontId="61" fillId="0" borderId="2" xfId="3" quotePrefix="1" applyNumberFormat="1" applyFont="1" applyFill="1" applyBorder="1" applyAlignment="1">
      <alignment horizontal="right" vertical="center" wrapText="1"/>
    </xf>
    <xf numFmtId="166" fontId="60" fillId="0" borderId="2" xfId="7" applyNumberFormat="1" applyFont="1" applyFill="1" applyBorder="1" applyAlignment="1">
      <alignment horizontal="right" vertical="center"/>
    </xf>
    <xf numFmtId="167" fontId="60" fillId="0" borderId="2" xfId="7" applyNumberFormat="1" applyFont="1" applyFill="1" applyBorder="1" applyAlignment="1">
      <alignment horizontal="right" vertical="center"/>
    </xf>
    <xf numFmtId="166" fontId="60" fillId="0" borderId="2" xfId="7" quotePrefix="1" applyNumberFormat="1" applyFont="1" applyFill="1" applyBorder="1" applyAlignment="1">
      <alignment horizontal="right" vertical="center" wrapText="1"/>
    </xf>
    <xf numFmtId="167" fontId="60" fillId="0" borderId="2" xfId="7" quotePrefix="1" applyNumberFormat="1" applyFont="1" applyFill="1" applyBorder="1" applyAlignment="1">
      <alignment horizontal="right" vertical="center" wrapText="1"/>
    </xf>
    <xf numFmtId="0" fontId="60" fillId="0" borderId="2" xfId="0" applyFont="1" applyBorder="1" applyAlignment="1">
      <alignment vertical="center" wrapText="1"/>
    </xf>
    <xf numFmtId="166" fontId="60" fillId="0" borderId="2" xfId="7" applyNumberFormat="1" applyFont="1" applyFill="1" applyBorder="1" applyAlignment="1">
      <alignment horizontal="right" vertical="center" wrapText="1"/>
    </xf>
    <xf numFmtId="166" fontId="60" fillId="0" borderId="2" xfId="0" applyNumberFormat="1" applyFont="1" applyBorder="1" applyAlignment="1">
      <alignment vertical="center" wrapText="1"/>
    </xf>
    <xf numFmtId="167" fontId="60" fillId="0" borderId="2" xfId="7" applyNumberFormat="1" applyFont="1" applyFill="1" applyBorder="1" applyAlignment="1">
      <alignment horizontal="right" vertical="center" wrapText="1"/>
    </xf>
    <xf numFmtId="166" fontId="60" fillId="0" borderId="2" xfId="7" applyNumberFormat="1" applyFont="1" applyFill="1" applyBorder="1" applyAlignment="1">
      <alignment horizontal="center" vertical="center" wrapText="1"/>
    </xf>
    <xf numFmtId="0" fontId="32" fillId="2" borderId="2" xfId="0" applyFont="1" applyFill="1" applyBorder="1" applyAlignment="1">
      <alignment horizontal="center" vertical="center" wrapText="1"/>
    </xf>
    <xf numFmtId="0" fontId="59" fillId="0" borderId="2" xfId="0" applyFont="1" applyBorder="1" applyAlignment="1">
      <alignment vertical="center" wrapText="1"/>
    </xf>
    <xf numFmtId="0" fontId="60" fillId="0" borderId="2" xfId="8" applyFont="1" applyBorder="1" applyAlignment="1">
      <alignment horizontal="center" vertical="center" wrapText="1"/>
    </xf>
    <xf numFmtId="1" fontId="60" fillId="0" borderId="2" xfId="2" quotePrefix="1" applyNumberFormat="1" applyFont="1" applyBorder="1" applyAlignment="1">
      <alignment horizontal="center" vertical="center" wrapText="1"/>
    </xf>
    <xf numFmtId="167" fontId="40" fillId="2" borderId="2" xfId="3" applyNumberFormat="1" applyFont="1" applyFill="1" applyBorder="1" applyAlignment="1">
      <alignment vertical="center"/>
    </xf>
    <xf numFmtId="166" fontId="58" fillId="2" borderId="2" xfId="3" applyNumberFormat="1" applyFont="1" applyFill="1" applyBorder="1" applyAlignment="1">
      <alignment horizontal="right" vertical="center"/>
    </xf>
    <xf numFmtId="167" fontId="58" fillId="2" borderId="2" xfId="3" applyNumberFormat="1" applyFont="1" applyFill="1" applyBorder="1" applyAlignment="1">
      <alignment horizontal="right" vertical="center"/>
    </xf>
    <xf numFmtId="167" fontId="40" fillId="2" borderId="2" xfId="3" applyNumberFormat="1" applyFont="1" applyFill="1" applyBorder="1" applyAlignment="1">
      <alignment horizontal="right" vertical="center"/>
    </xf>
    <xf numFmtId="167" fontId="58" fillId="2" borderId="2" xfId="3" applyNumberFormat="1" applyFont="1" applyFill="1" applyBorder="1" applyAlignment="1">
      <alignment vertical="center"/>
    </xf>
    <xf numFmtId="171" fontId="21" fillId="2" borderId="2" xfId="1" applyNumberFormat="1" applyFont="1" applyFill="1" applyBorder="1" applyAlignment="1">
      <alignment horizontal="center" vertical="center"/>
    </xf>
    <xf numFmtId="165" fontId="66" fillId="0" borderId="2" xfId="9" applyNumberFormat="1" applyFont="1" applyBorder="1" applyAlignment="1">
      <alignment horizontal="right" vertical="center" wrapText="1"/>
    </xf>
    <xf numFmtId="165" fontId="66" fillId="2" borderId="2" xfId="9" applyNumberFormat="1" applyFont="1" applyFill="1" applyBorder="1" applyAlignment="1">
      <alignment horizontal="right" vertical="center" wrapText="1"/>
    </xf>
    <xf numFmtId="166" fontId="61" fillId="2" borderId="2" xfId="3" applyNumberFormat="1" applyFont="1" applyFill="1" applyBorder="1" applyAlignment="1">
      <alignment vertical="center"/>
    </xf>
    <xf numFmtId="166" fontId="61" fillId="2" borderId="2" xfId="3" applyNumberFormat="1" applyFont="1" applyFill="1" applyBorder="1" applyAlignment="1">
      <alignment horizontal="right" vertical="center"/>
    </xf>
    <xf numFmtId="167" fontId="66" fillId="2" borderId="2" xfId="9" applyNumberFormat="1" applyFont="1" applyFill="1" applyBorder="1" applyAlignment="1">
      <alignment horizontal="right" vertical="center" wrapText="1"/>
    </xf>
    <xf numFmtId="167" fontId="61" fillId="2" borderId="2" xfId="3" applyNumberFormat="1" applyFont="1" applyFill="1" applyBorder="1" applyAlignment="1">
      <alignment vertical="center"/>
    </xf>
    <xf numFmtId="167" fontId="61" fillId="2" borderId="2" xfId="3" applyNumberFormat="1" applyFont="1" applyFill="1" applyBorder="1" applyAlignment="1">
      <alignment horizontal="right" vertical="center"/>
    </xf>
    <xf numFmtId="0" fontId="39" fillId="0" borderId="2" xfId="0" applyFont="1" applyBorder="1" applyAlignment="1">
      <alignment horizontal="center" vertical="center"/>
    </xf>
    <xf numFmtId="0" fontId="39" fillId="0" borderId="2" xfId="9" applyFont="1" applyBorder="1" applyAlignment="1">
      <alignment horizontal="left" vertical="center" wrapText="1"/>
    </xf>
    <xf numFmtId="1" fontId="39" fillId="0" borderId="2" xfId="2" applyNumberFormat="1" applyFont="1" applyBorder="1" applyAlignment="1">
      <alignment horizontal="center" vertical="center" wrapText="1"/>
    </xf>
    <xf numFmtId="166" fontId="39" fillId="0" borderId="2" xfId="3" quotePrefix="1" applyNumberFormat="1" applyFont="1" applyFill="1" applyBorder="1" applyAlignment="1">
      <alignment horizontal="center" vertical="center" wrapText="1"/>
    </xf>
    <xf numFmtId="166" fontId="39" fillId="0" borderId="2" xfId="3" quotePrefix="1" applyNumberFormat="1" applyFont="1" applyFill="1" applyBorder="1" applyAlignment="1">
      <alignment horizontal="right" vertical="center" wrapText="1"/>
    </xf>
    <xf numFmtId="166" fontId="39" fillId="0" borderId="2" xfId="3" applyNumberFormat="1" applyFont="1" applyFill="1" applyBorder="1" applyAlignment="1">
      <alignment vertical="center"/>
    </xf>
    <xf numFmtId="164" fontId="39" fillId="0" borderId="2" xfId="1" quotePrefix="1" applyFont="1" applyFill="1" applyBorder="1" applyAlignment="1">
      <alignment horizontal="right" vertical="center" wrapText="1"/>
    </xf>
    <xf numFmtId="164" fontId="39" fillId="0" borderId="2" xfId="1" applyFont="1" applyFill="1" applyBorder="1" applyAlignment="1">
      <alignment horizontal="right" vertical="center" wrapText="1"/>
    </xf>
    <xf numFmtId="1" fontId="39" fillId="2" borderId="0" xfId="2" applyNumberFormat="1" applyFont="1" applyFill="1" applyAlignment="1">
      <alignment vertical="center"/>
    </xf>
    <xf numFmtId="0" fontId="60" fillId="0" borderId="2" xfId="11" applyFont="1" applyBorder="1" applyAlignment="1">
      <alignment horizontal="left" vertical="center" wrapText="1"/>
    </xf>
    <xf numFmtId="164" fontId="60" fillId="0" borderId="2" xfId="1" quotePrefix="1" applyFont="1" applyFill="1" applyBorder="1" applyAlignment="1">
      <alignment horizontal="right" vertical="center" wrapText="1"/>
    </xf>
    <xf numFmtId="164" fontId="60" fillId="0" borderId="2" xfId="1" applyFont="1" applyFill="1" applyBorder="1" applyAlignment="1">
      <alignment horizontal="right" vertical="center" wrapText="1"/>
    </xf>
    <xf numFmtId="0" fontId="60" fillId="0" borderId="2" xfId="9" applyFont="1" applyBorder="1" applyAlignment="1">
      <alignment horizontal="left" vertical="center" wrapText="1"/>
    </xf>
    <xf numFmtId="0" fontId="60" fillId="0" borderId="2" xfId="34" applyNumberFormat="1" applyFont="1" applyFill="1" applyBorder="1" applyAlignment="1" applyProtection="1">
      <alignment horizontal="left" vertical="center" wrapText="1"/>
    </xf>
    <xf numFmtId="0" fontId="60" fillId="0" borderId="2" xfId="17" applyFont="1" applyBorder="1" applyAlignment="1">
      <alignment horizontal="left" vertical="center" wrapText="1"/>
    </xf>
    <xf numFmtId="164" fontId="60" fillId="0" borderId="2" xfId="1" applyFont="1" applyFill="1" applyBorder="1" applyAlignment="1">
      <alignment vertical="center" wrapText="1"/>
    </xf>
    <xf numFmtId="1" fontId="60" fillId="0" borderId="0" xfId="2" applyNumberFormat="1" applyFont="1" applyAlignment="1">
      <alignment horizontal="center" vertical="center" wrapText="1"/>
    </xf>
    <xf numFmtId="0" fontId="60" fillId="0" borderId="2" xfId="0" applyFont="1" applyBorder="1" applyAlignment="1">
      <alignment horizontal="left" vertical="center" wrapText="1"/>
    </xf>
    <xf numFmtId="0" fontId="58" fillId="0" borderId="2" xfId="0" quotePrefix="1" applyFont="1" applyBorder="1" applyAlignment="1">
      <alignment horizontal="center"/>
    </xf>
    <xf numFmtId="164" fontId="58" fillId="0" borderId="2" xfId="1" applyFont="1" applyFill="1" applyBorder="1" applyAlignment="1">
      <alignment vertical="center" wrapText="1"/>
    </xf>
    <xf numFmtId="164" fontId="58" fillId="0" borderId="2" xfId="1" applyFont="1" applyFill="1" applyBorder="1" applyAlignment="1">
      <alignment horizontal="right" vertical="center" wrapText="1"/>
    </xf>
    <xf numFmtId="1" fontId="13" fillId="2" borderId="2" xfId="2" applyNumberFormat="1" applyFont="1" applyFill="1" applyBorder="1" applyAlignment="1">
      <alignment vertical="center" wrapText="1"/>
    </xf>
    <xf numFmtId="0" fontId="39" fillId="0" borderId="2" xfId="17" applyFont="1" applyBorder="1" applyAlignment="1">
      <alignment horizontal="left" vertical="center" wrapText="1"/>
    </xf>
    <xf numFmtId="164" fontId="39" fillId="0" borderId="2" xfId="1" applyFont="1" applyFill="1" applyBorder="1" applyAlignment="1">
      <alignment vertical="center" wrapText="1"/>
    </xf>
    <xf numFmtId="1" fontId="39" fillId="0" borderId="2" xfId="2" applyNumberFormat="1" applyFont="1" applyBorder="1" applyAlignment="1">
      <alignment vertical="center" wrapText="1"/>
    </xf>
    <xf numFmtId="164" fontId="39" fillId="0" borderId="6" xfId="1" applyFont="1" applyFill="1" applyBorder="1" applyAlignment="1">
      <alignment horizontal="right" vertical="center" wrapText="1"/>
    </xf>
    <xf numFmtId="1" fontId="39" fillId="0" borderId="2" xfId="2" applyNumberFormat="1" applyFont="1" applyBorder="1" applyAlignment="1">
      <alignment horizontal="left" vertical="center" wrapText="1"/>
    </xf>
    <xf numFmtId="164" fontId="39" fillId="2" borderId="2" xfId="1" applyFont="1" applyFill="1" applyBorder="1" applyAlignment="1">
      <alignment horizontal="right" vertical="center" wrapText="1"/>
    </xf>
    <xf numFmtId="164" fontId="39" fillId="2" borderId="6" xfId="1" applyFont="1" applyFill="1" applyBorder="1" applyAlignment="1">
      <alignment horizontal="right" vertical="center" wrapText="1"/>
    </xf>
    <xf numFmtId="1" fontId="39" fillId="0" borderId="6" xfId="2" applyNumberFormat="1" applyFont="1" applyBorder="1" applyAlignment="1">
      <alignment horizontal="left" vertical="center" wrapText="1"/>
    </xf>
    <xf numFmtId="164" fontId="39" fillId="0" borderId="6" xfId="1" applyFont="1" applyFill="1" applyBorder="1" applyAlignment="1">
      <alignment vertical="center" wrapText="1"/>
    </xf>
    <xf numFmtId="166" fontId="32" fillId="2" borderId="2" xfId="2" applyNumberFormat="1" applyFont="1" applyFill="1" applyBorder="1" applyAlignment="1">
      <alignment horizontal="center" vertical="center" wrapText="1"/>
    </xf>
    <xf numFmtId="3" fontId="32" fillId="2" borderId="2" xfId="0" applyNumberFormat="1" applyFont="1" applyFill="1" applyBorder="1" applyAlignment="1">
      <alignment horizontal="center" vertical="center" wrapText="1"/>
    </xf>
    <xf numFmtId="166" fontId="67" fillId="0" borderId="2" xfId="2" applyNumberFormat="1" applyFont="1" applyBorder="1" applyAlignment="1">
      <alignment horizontal="center" vertical="center" wrapText="1"/>
    </xf>
    <xf numFmtId="166" fontId="67" fillId="0" borderId="2" xfId="2" applyNumberFormat="1" applyFont="1" applyBorder="1" applyAlignment="1">
      <alignment horizontal="right" vertical="center" wrapText="1"/>
    </xf>
    <xf numFmtId="49" fontId="8" fillId="2" borderId="2" xfId="0" applyNumberFormat="1" applyFont="1" applyFill="1" applyBorder="1" applyAlignment="1">
      <alignment horizontal="center" vertical="center"/>
    </xf>
    <xf numFmtId="1" fontId="8" fillId="2" borderId="2" xfId="0" applyNumberFormat="1" applyFont="1" applyFill="1" applyBorder="1" applyAlignment="1">
      <alignment horizontal="center" vertical="center" wrapText="1"/>
    </xf>
    <xf numFmtId="166" fontId="8" fillId="2" borderId="2" xfId="0" applyNumberFormat="1" applyFont="1" applyFill="1" applyBorder="1" applyAlignment="1">
      <alignment horizontal="center" vertical="center"/>
    </xf>
    <xf numFmtId="166" fontId="8" fillId="2" borderId="2" xfId="0" applyNumberFormat="1" applyFont="1" applyFill="1" applyBorder="1" applyAlignment="1">
      <alignment horizontal="center" vertical="center" wrapText="1"/>
    </xf>
    <xf numFmtId="166" fontId="8" fillId="2" borderId="2" xfId="0" applyNumberFormat="1" applyFont="1" applyFill="1" applyBorder="1" applyAlignment="1">
      <alignment horizontal="right" vertical="center"/>
    </xf>
    <xf numFmtId="166" fontId="8" fillId="2" borderId="2" xfId="0" applyNumberFormat="1" applyFont="1" applyFill="1" applyBorder="1" applyAlignment="1">
      <alignment vertical="center"/>
    </xf>
    <xf numFmtId="167" fontId="8" fillId="2" borderId="2" xfId="0" applyNumberFormat="1" applyFont="1" applyFill="1" applyBorder="1" applyAlignment="1">
      <alignment horizontal="right" vertical="center"/>
    </xf>
    <xf numFmtId="166" fontId="8" fillId="11" borderId="2" xfId="0" applyNumberFormat="1" applyFont="1" applyFill="1" applyBorder="1" applyAlignment="1">
      <alignment vertical="center"/>
    </xf>
    <xf numFmtId="172" fontId="8" fillId="2" borderId="2" xfId="0" applyNumberFormat="1" applyFont="1" applyFill="1" applyBorder="1" applyAlignment="1">
      <alignment horizontal="right" vertical="center" wrapText="1"/>
    </xf>
    <xf numFmtId="171" fontId="8" fillId="2" borderId="2" xfId="0" applyNumberFormat="1" applyFont="1" applyFill="1" applyBorder="1" applyAlignment="1">
      <alignment horizontal="right" vertical="center" wrapText="1"/>
    </xf>
    <xf numFmtId="165" fontId="8" fillId="2" borderId="2" xfId="0" applyNumberFormat="1" applyFont="1" applyFill="1" applyBorder="1" applyAlignment="1">
      <alignment horizontal="right" vertical="center" wrapText="1"/>
    </xf>
    <xf numFmtId="166" fontId="21" fillId="11" borderId="2" xfId="0" applyNumberFormat="1" applyFont="1" applyFill="1" applyBorder="1" applyAlignment="1">
      <alignment horizontal="right" vertical="center"/>
    </xf>
    <xf numFmtId="166" fontId="13" fillId="11" borderId="2" xfId="0" applyNumberFormat="1" applyFont="1" applyFill="1" applyBorder="1" applyAlignment="1">
      <alignment horizontal="right" vertical="center"/>
    </xf>
    <xf numFmtId="171" fontId="21" fillId="2" borderId="2" xfId="0" applyNumberFormat="1" applyFont="1" applyFill="1" applyBorder="1" applyAlignment="1">
      <alignment horizontal="right" vertical="center" wrapText="1"/>
    </xf>
    <xf numFmtId="2" fontId="8" fillId="2" borderId="0" xfId="2" applyNumberFormat="1" applyFont="1" applyFill="1" applyAlignment="1">
      <alignment vertical="center"/>
    </xf>
    <xf numFmtId="1" fontId="21" fillId="2" borderId="2" xfId="0" applyNumberFormat="1" applyFont="1" applyFill="1" applyBorder="1" applyAlignment="1">
      <alignment horizontal="center" vertical="center" wrapText="1"/>
    </xf>
    <xf numFmtId="166" fontId="21" fillId="2" borderId="2" xfId="0" applyNumberFormat="1" applyFont="1" applyFill="1" applyBorder="1" applyAlignment="1">
      <alignment horizontal="right" vertical="center"/>
    </xf>
    <xf numFmtId="166" fontId="60" fillId="0" borderId="2" xfId="1" applyNumberFormat="1" applyFont="1" applyFill="1" applyBorder="1" applyAlignment="1">
      <alignment horizontal="right" vertical="center"/>
    </xf>
    <xf numFmtId="166" fontId="60" fillId="0" borderId="2" xfId="1" quotePrefix="1" applyNumberFormat="1" applyFont="1" applyFill="1" applyBorder="1" applyAlignment="1">
      <alignment horizontal="center" vertical="center" wrapText="1"/>
    </xf>
    <xf numFmtId="166" fontId="60" fillId="0" borderId="2" xfId="1" quotePrefix="1" applyNumberFormat="1" applyFont="1" applyFill="1" applyBorder="1" applyAlignment="1">
      <alignment horizontal="right" vertical="center" wrapText="1"/>
    </xf>
    <xf numFmtId="166" fontId="60" fillId="0" borderId="2" xfId="1" applyNumberFormat="1" applyFont="1" applyFill="1" applyBorder="1" applyAlignment="1">
      <alignment vertical="center"/>
    </xf>
    <xf numFmtId="167" fontId="60" fillId="0" borderId="2" xfId="1" applyNumberFormat="1" applyFont="1" applyFill="1" applyBorder="1" applyAlignment="1">
      <alignment horizontal="right" vertical="center"/>
    </xf>
    <xf numFmtId="0" fontId="58" fillId="3" borderId="2" xfId="0" applyFont="1" applyFill="1" applyBorder="1" applyAlignment="1">
      <alignment horizontal="center" vertical="center"/>
    </xf>
    <xf numFmtId="1" fontId="58" fillId="0" borderId="2" xfId="2" quotePrefix="1" applyNumberFormat="1" applyFont="1" applyBorder="1" applyAlignment="1">
      <alignment horizontal="center" vertical="center" wrapText="1"/>
    </xf>
    <xf numFmtId="166" fontId="58" fillId="0" borderId="2" xfId="1" applyNumberFormat="1" applyFont="1" applyFill="1" applyBorder="1" applyAlignment="1">
      <alignment horizontal="right" vertical="center"/>
    </xf>
    <xf numFmtId="166" fontId="58" fillId="0" borderId="2" xfId="1" quotePrefix="1" applyNumberFormat="1" applyFont="1" applyFill="1" applyBorder="1" applyAlignment="1">
      <alignment horizontal="center" vertical="center" wrapText="1"/>
    </xf>
    <xf numFmtId="166" fontId="58" fillId="0" borderId="2" xfId="1" quotePrefix="1" applyNumberFormat="1" applyFont="1" applyFill="1" applyBorder="1" applyAlignment="1">
      <alignment horizontal="right" vertical="center" wrapText="1"/>
    </xf>
    <xf numFmtId="166" fontId="58" fillId="0" borderId="2" xfId="1" applyNumberFormat="1" applyFont="1" applyFill="1" applyBorder="1" applyAlignment="1">
      <alignment vertical="center"/>
    </xf>
    <xf numFmtId="167" fontId="58" fillId="0" borderId="2" xfId="0" applyNumberFormat="1" applyFont="1" applyBorder="1" applyAlignment="1">
      <alignment horizontal="center" vertical="center"/>
    </xf>
    <xf numFmtId="167" fontId="58" fillId="0" borderId="2" xfId="0" applyNumberFormat="1" applyFont="1" applyBorder="1" applyAlignment="1">
      <alignment horizontal="right" vertical="center"/>
    </xf>
    <xf numFmtId="1" fontId="58" fillId="0" borderId="2" xfId="2" applyNumberFormat="1" applyFont="1" applyBorder="1" applyAlignment="1">
      <alignment horizontal="center" vertical="center"/>
    </xf>
    <xf numFmtId="3" fontId="58" fillId="0" borderId="2" xfId="2" applyNumberFormat="1" applyFont="1" applyBorder="1" applyAlignment="1">
      <alignment horizontal="left" vertical="center" wrapText="1"/>
    </xf>
    <xf numFmtId="1" fontId="58" fillId="0" borderId="2" xfId="2" quotePrefix="1" applyNumberFormat="1" applyFont="1" applyBorder="1" applyAlignment="1">
      <alignment horizontal="center" vertical="center"/>
    </xf>
    <xf numFmtId="3" fontId="58" fillId="0" borderId="2" xfId="0" applyNumberFormat="1" applyFont="1" applyBorder="1" applyAlignment="1">
      <alignment horizontal="right" vertical="center"/>
    </xf>
    <xf numFmtId="3" fontId="58" fillId="0" borderId="2" xfId="0" applyNumberFormat="1" applyFont="1" applyBorder="1" applyAlignment="1">
      <alignment horizontal="center" vertical="center"/>
    </xf>
    <xf numFmtId="1" fontId="60" fillId="0" borderId="2" xfId="0" applyNumberFormat="1" applyFont="1" applyBorder="1" applyAlignment="1">
      <alignment horizontal="center" vertical="center"/>
    </xf>
    <xf numFmtId="0" fontId="60" fillId="0" borderId="2" xfId="35" applyFont="1" applyBorder="1" applyAlignment="1">
      <alignment vertical="center" wrapText="1"/>
    </xf>
    <xf numFmtId="167" fontId="60" fillId="0" borderId="2" xfId="0" applyNumberFormat="1" applyFont="1" applyBorder="1" applyAlignment="1">
      <alignment horizontal="center" vertical="center"/>
    </xf>
    <xf numFmtId="3" fontId="60" fillId="0" borderId="2" xfId="0" applyNumberFormat="1" applyFont="1" applyBorder="1" applyAlignment="1">
      <alignment horizontal="right" vertical="center"/>
    </xf>
    <xf numFmtId="167" fontId="60" fillId="0" borderId="2" xfId="0" applyNumberFormat="1" applyFont="1" applyBorder="1" applyAlignment="1">
      <alignment horizontal="right" vertical="center"/>
    </xf>
    <xf numFmtId="4" fontId="60" fillId="0" borderId="2" xfId="0" applyNumberFormat="1" applyFont="1" applyBorder="1" applyAlignment="1">
      <alignment vertical="center" wrapText="1"/>
    </xf>
    <xf numFmtId="0" fontId="58" fillId="0" borderId="2" xfId="0" applyFont="1" applyBorder="1" applyAlignment="1">
      <alignment horizontal="center" vertical="center" wrapText="1"/>
    </xf>
    <xf numFmtId="1" fontId="58" fillId="0" borderId="2" xfId="2" applyNumberFormat="1" applyFont="1" applyBorder="1" applyAlignment="1">
      <alignment vertical="center" wrapText="1"/>
    </xf>
    <xf numFmtId="1" fontId="58" fillId="0" borderId="2" xfId="2" quotePrefix="1" applyNumberFormat="1" applyFont="1" applyBorder="1" applyAlignment="1">
      <alignment vertical="center" wrapText="1"/>
    </xf>
    <xf numFmtId="167" fontId="58" fillId="0" borderId="2" xfId="0" applyNumberFormat="1" applyFont="1" applyBorder="1" applyAlignment="1">
      <alignment horizontal="center" vertical="center" wrapText="1"/>
    </xf>
    <xf numFmtId="167" fontId="58" fillId="0" borderId="2" xfId="0" applyNumberFormat="1" applyFont="1" applyBorder="1" applyAlignment="1">
      <alignment horizontal="right" vertical="center" wrapText="1"/>
    </xf>
    <xf numFmtId="0" fontId="58" fillId="0" borderId="2" xfId="0" applyFont="1" applyBorder="1" applyAlignment="1">
      <alignment vertical="center" wrapText="1"/>
    </xf>
    <xf numFmtId="0" fontId="60" fillId="0" borderId="2" xfId="0" applyFont="1" applyBorder="1" applyAlignment="1">
      <alignment horizontal="center" vertical="center" wrapText="1"/>
    </xf>
    <xf numFmtId="0" fontId="60" fillId="0" borderId="2" xfId="0" applyFont="1" applyBorder="1" applyAlignment="1">
      <alignment horizontal="justify" vertical="center"/>
    </xf>
    <xf numFmtId="0" fontId="58" fillId="0" borderId="2" xfId="0" applyFont="1" applyBorder="1" applyAlignment="1">
      <alignment horizontal="justify" vertical="center"/>
    </xf>
    <xf numFmtId="1" fontId="32" fillId="2" borderId="0" xfId="2" applyNumberFormat="1" applyFont="1" applyFill="1" applyAlignment="1">
      <alignment horizontal="center" vertical="center"/>
    </xf>
    <xf numFmtId="1" fontId="7" fillId="2" borderId="0" xfId="2" applyNumberFormat="1" applyFont="1" applyFill="1" applyAlignment="1">
      <alignment horizontal="right" vertical="center"/>
    </xf>
    <xf numFmtId="1" fontId="9" fillId="2" borderId="0" xfId="2" applyNumberFormat="1" applyFont="1" applyFill="1" applyAlignment="1">
      <alignment horizontal="center" vertical="center"/>
    </xf>
    <xf numFmtId="1" fontId="8" fillId="2" borderId="2" xfId="2" applyNumberFormat="1" applyFont="1" applyFill="1" applyBorder="1" applyAlignment="1">
      <alignment horizontal="center" vertical="center" wrapText="1"/>
    </xf>
    <xf numFmtId="1" fontId="21" fillId="2" borderId="0" xfId="2" applyNumberFormat="1" applyFont="1" applyFill="1" applyAlignment="1">
      <alignment horizontal="center" vertical="center" wrapText="1"/>
    </xf>
    <xf numFmtId="1" fontId="13" fillId="2" borderId="0" xfId="2" applyNumberFormat="1" applyFont="1" applyFill="1" applyAlignment="1">
      <alignment horizontal="center" vertical="center" wrapText="1"/>
    </xf>
    <xf numFmtId="171" fontId="58" fillId="12" borderId="2" xfId="3" applyNumberFormat="1" applyFont="1" applyFill="1" applyBorder="1" applyAlignment="1">
      <alignment horizontal="center" vertical="center" wrapText="1"/>
    </xf>
    <xf numFmtId="171" fontId="58" fillId="12" borderId="2" xfId="3" applyNumberFormat="1" applyFont="1" applyFill="1" applyBorder="1" applyAlignment="1">
      <alignment horizontal="left" vertical="center" wrapText="1"/>
    </xf>
    <xf numFmtId="1" fontId="60" fillId="12" borderId="2" xfId="2" applyNumberFormat="1" applyFont="1" applyFill="1" applyBorder="1" applyAlignment="1">
      <alignment horizontal="center" vertical="center" wrapText="1"/>
    </xf>
    <xf numFmtId="1" fontId="60" fillId="12" borderId="2" xfId="2" quotePrefix="1" applyNumberFormat="1" applyFont="1" applyFill="1" applyBorder="1" applyAlignment="1">
      <alignment horizontal="center" vertical="center" wrapText="1"/>
    </xf>
    <xf numFmtId="172" fontId="58" fillId="12" borderId="2" xfId="3" applyNumberFormat="1" applyFont="1" applyFill="1" applyBorder="1" applyAlignment="1">
      <alignment horizontal="center" vertical="center" wrapText="1"/>
    </xf>
    <xf numFmtId="1" fontId="21" fillId="12" borderId="2" xfId="2" applyNumberFormat="1" applyFont="1" applyFill="1" applyBorder="1" applyAlignment="1">
      <alignment horizontal="center" vertical="center"/>
    </xf>
    <xf numFmtId="171" fontId="8" fillId="12" borderId="2" xfId="3" applyNumberFormat="1" applyFont="1" applyFill="1" applyBorder="1" applyAlignment="1">
      <alignment horizontal="center" vertical="center" wrapText="1"/>
    </xf>
    <xf numFmtId="1" fontId="21" fillId="12" borderId="0" xfId="2" applyNumberFormat="1" applyFont="1" applyFill="1" applyAlignment="1">
      <alignment vertical="center"/>
    </xf>
    <xf numFmtId="49" fontId="58" fillId="12" borderId="2" xfId="2" applyNumberFormat="1" applyFont="1" applyFill="1" applyBorder="1" applyAlignment="1">
      <alignment horizontal="center" vertical="center" wrapText="1"/>
    </xf>
    <xf numFmtId="3" fontId="58" fillId="12" borderId="2" xfId="2" applyNumberFormat="1" applyFont="1" applyFill="1" applyBorder="1" applyAlignment="1">
      <alignment horizontal="left" vertical="center" wrapText="1"/>
    </xf>
    <xf numFmtId="3" fontId="58" fillId="0" borderId="2" xfId="2" applyNumberFormat="1" applyFont="1" applyBorder="1" applyAlignment="1">
      <alignment horizontal="center" vertical="center" wrapText="1"/>
    </xf>
    <xf numFmtId="3" fontId="58" fillId="0" borderId="2" xfId="2" applyNumberFormat="1" applyFont="1" applyBorder="1" applyAlignment="1">
      <alignment vertical="center" wrapText="1"/>
    </xf>
    <xf numFmtId="165" fontId="58" fillId="0" borderId="2" xfId="3" applyNumberFormat="1" applyFont="1" applyFill="1" applyBorder="1" applyAlignment="1">
      <alignment horizontal="right" vertical="center"/>
    </xf>
    <xf numFmtId="165" fontId="58" fillId="0" borderId="2" xfId="3" quotePrefix="1" applyNumberFormat="1" applyFont="1" applyFill="1" applyBorder="1" applyAlignment="1">
      <alignment horizontal="center" vertical="center" wrapText="1"/>
    </xf>
    <xf numFmtId="171" fontId="8" fillId="2" borderId="2" xfId="3" applyNumberFormat="1" applyFont="1" applyFill="1" applyBorder="1" applyAlignment="1">
      <alignment horizontal="center" vertical="center" wrapText="1"/>
    </xf>
    <xf numFmtId="49" fontId="58" fillId="0" borderId="2" xfId="2" applyNumberFormat="1" applyFont="1" applyBorder="1" applyAlignment="1">
      <alignment horizontal="center" vertical="center"/>
    </xf>
    <xf numFmtId="165" fontId="58" fillId="0" borderId="2" xfId="3" quotePrefix="1" applyNumberFormat="1" applyFont="1" applyFill="1" applyBorder="1" applyAlignment="1">
      <alignment horizontal="right" vertical="center" wrapText="1"/>
    </xf>
    <xf numFmtId="165" fontId="58" fillId="0" borderId="2" xfId="3" applyNumberFormat="1" applyFont="1" applyFill="1" applyBorder="1" applyAlignment="1">
      <alignment vertical="center"/>
    </xf>
    <xf numFmtId="171" fontId="58" fillId="0" borderId="2" xfId="3" applyNumberFormat="1" applyFont="1" applyFill="1" applyBorder="1" applyAlignment="1">
      <alignment horizontal="center" vertical="center" wrapText="1"/>
    </xf>
    <xf numFmtId="166" fontId="60" fillId="0" borderId="2" xfId="3" applyNumberFormat="1" applyFont="1" applyFill="1" applyBorder="1" applyAlignment="1">
      <alignment horizontal="center" vertical="center" wrapText="1"/>
    </xf>
    <xf numFmtId="166" fontId="60" fillId="0" borderId="2" xfId="3" applyNumberFormat="1" applyFont="1" applyFill="1" applyBorder="1" applyAlignment="1">
      <alignment horizontal="right" vertical="center" wrapText="1"/>
    </xf>
    <xf numFmtId="165" fontId="21" fillId="2" borderId="2" xfId="3" applyNumberFormat="1" applyFont="1" applyFill="1" applyBorder="1" applyAlignment="1">
      <alignment horizontal="right" vertical="center"/>
    </xf>
    <xf numFmtId="171" fontId="21" fillId="2" borderId="2" xfId="3" applyNumberFormat="1" applyFont="1" applyFill="1" applyBorder="1" applyAlignment="1">
      <alignment horizontal="center" vertical="center" wrapText="1"/>
    </xf>
    <xf numFmtId="165" fontId="60" fillId="0" borderId="2" xfId="3" applyNumberFormat="1" applyFont="1" applyFill="1" applyBorder="1" applyAlignment="1">
      <alignment horizontal="right" vertical="center"/>
    </xf>
    <xf numFmtId="165" fontId="60" fillId="0" borderId="2" xfId="3" quotePrefix="1" applyNumberFormat="1" applyFont="1" applyFill="1" applyBorder="1" applyAlignment="1">
      <alignment horizontal="center" vertical="center" wrapText="1"/>
    </xf>
    <xf numFmtId="165" fontId="60" fillId="0" borderId="2" xfId="3" quotePrefix="1" applyNumberFormat="1" applyFont="1" applyFill="1" applyBorder="1" applyAlignment="1">
      <alignment horizontal="right" vertical="center" wrapText="1"/>
    </xf>
    <xf numFmtId="165" fontId="60" fillId="0" borderId="2" xfId="3" applyNumberFormat="1" applyFont="1" applyFill="1" applyBorder="1" applyAlignment="1">
      <alignment vertical="center"/>
    </xf>
    <xf numFmtId="171" fontId="60" fillId="0" borderId="2" xfId="3" applyNumberFormat="1" applyFont="1" applyFill="1" applyBorder="1" applyAlignment="1">
      <alignment horizontal="center" vertical="center" wrapText="1"/>
    </xf>
    <xf numFmtId="166" fontId="8" fillId="2" borderId="2" xfId="3" applyNumberFormat="1" applyFont="1" applyFill="1" applyBorder="1" applyAlignment="1">
      <alignment horizontal="right" vertical="center" wrapText="1"/>
    </xf>
    <xf numFmtId="166" fontId="60" fillId="0" borderId="2" xfId="29" quotePrefix="1" applyNumberFormat="1" applyFont="1" applyFill="1" applyBorder="1" applyAlignment="1">
      <alignment horizontal="right" vertical="center" wrapText="1"/>
    </xf>
    <xf numFmtId="165" fontId="59" fillId="0" borderId="2" xfId="3" applyNumberFormat="1" applyFont="1" applyFill="1" applyBorder="1" applyAlignment="1">
      <alignment horizontal="right" vertical="center"/>
    </xf>
    <xf numFmtId="166" fontId="60" fillId="0" borderId="2" xfId="29" applyNumberFormat="1" applyFont="1" applyFill="1" applyBorder="1" applyAlignment="1">
      <alignment horizontal="right" vertical="center"/>
    </xf>
    <xf numFmtId="165" fontId="61" fillId="0" borderId="2" xfId="3" quotePrefix="1" applyNumberFormat="1" applyFont="1" applyFill="1" applyBorder="1" applyAlignment="1">
      <alignment horizontal="right" vertical="center" wrapText="1"/>
    </xf>
    <xf numFmtId="166" fontId="61" fillId="0" borderId="2" xfId="29" applyNumberFormat="1" applyFont="1" applyFill="1" applyBorder="1" applyAlignment="1">
      <alignment vertical="center"/>
    </xf>
    <xf numFmtId="165" fontId="61" fillId="0" borderId="2" xfId="3" applyNumberFormat="1" applyFont="1" applyFill="1" applyBorder="1" applyAlignment="1">
      <alignment horizontal="right" vertical="center"/>
    </xf>
    <xf numFmtId="166" fontId="60" fillId="0" borderId="2" xfId="29" applyNumberFormat="1" applyFont="1" applyFill="1" applyBorder="1" applyAlignment="1">
      <alignment vertical="center"/>
    </xf>
    <xf numFmtId="1" fontId="21" fillId="0" borderId="2" xfId="2" applyNumberFormat="1" applyFont="1" applyBorder="1" applyAlignment="1">
      <alignment horizontal="center" vertical="center"/>
    </xf>
    <xf numFmtId="1" fontId="21" fillId="0" borderId="0" xfId="2" applyNumberFormat="1" applyFont="1" applyAlignment="1">
      <alignment vertical="center"/>
    </xf>
    <xf numFmtId="49" fontId="58" fillId="0" borderId="2" xfId="2" quotePrefix="1" applyNumberFormat="1" applyFont="1" applyBorder="1" applyAlignment="1">
      <alignment horizontal="center" vertical="center"/>
    </xf>
    <xf numFmtId="166" fontId="58" fillId="0" borderId="2" xfId="3" applyNumberFormat="1" applyFont="1" applyFill="1" applyBorder="1" applyAlignment="1">
      <alignment horizontal="center" vertical="center" wrapText="1"/>
    </xf>
    <xf numFmtId="166" fontId="58" fillId="0" borderId="2" xfId="3" applyNumberFormat="1" applyFont="1" applyFill="1" applyBorder="1" applyAlignment="1">
      <alignment horizontal="right" vertical="center" wrapText="1"/>
    </xf>
    <xf numFmtId="166" fontId="58" fillId="0" borderId="2" xfId="3" applyNumberFormat="1" applyFont="1" applyFill="1" applyBorder="1" applyAlignment="1">
      <alignment vertical="center"/>
    </xf>
    <xf numFmtId="171" fontId="21" fillId="0" borderId="2" xfId="3" applyNumberFormat="1" applyFont="1" applyFill="1" applyBorder="1" applyAlignment="1">
      <alignment horizontal="center" vertical="center" wrapText="1"/>
    </xf>
    <xf numFmtId="166" fontId="21" fillId="2" borderId="2" xfId="3" applyNumberFormat="1" applyFont="1" applyFill="1" applyBorder="1" applyAlignment="1">
      <alignment horizontal="right" vertical="center" wrapText="1"/>
    </xf>
    <xf numFmtId="167" fontId="59" fillId="0" borderId="2" xfId="0" applyNumberFormat="1" applyFont="1" applyBorder="1" applyAlignment="1">
      <alignment horizontal="justify" vertical="center" wrapText="1"/>
    </xf>
    <xf numFmtId="166" fontId="60" fillId="0" borderId="2" xfId="0" applyNumberFormat="1" applyFont="1" applyBorder="1" applyAlignment="1">
      <alignment horizontal="right" vertical="center"/>
    </xf>
    <xf numFmtId="172" fontId="58" fillId="0" borderId="2" xfId="3" applyNumberFormat="1" applyFont="1" applyFill="1" applyBorder="1" applyAlignment="1">
      <alignment horizontal="center" vertical="center" wrapText="1"/>
    </xf>
    <xf numFmtId="172" fontId="58" fillId="0" borderId="2" xfId="3" applyNumberFormat="1" applyFont="1" applyFill="1" applyBorder="1" applyAlignment="1">
      <alignment horizontal="right" vertical="center" wrapText="1"/>
    </xf>
    <xf numFmtId="165" fontId="13" fillId="2" borderId="2" xfId="3" applyNumberFormat="1" applyFont="1" applyFill="1" applyBorder="1" applyAlignment="1">
      <alignment horizontal="right" vertical="center"/>
    </xf>
    <xf numFmtId="172" fontId="61" fillId="0" borderId="2" xfId="3" quotePrefix="1" applyNumberFormat="1" applyFont="1" applyFill="1" applyBorder="1" applyAlignment="1">
      <alignment horizontal="right" vertical="center" wrapText="1"/>
    </xf>
    <xf numFmtId="172" fontId="60" fillId="0" borderId="2" xfId="3" applyNumberFormat="1" applyFont="1" applyFill="1" applyBorder="1" applyAlignment="1">
      <alignment horizontal="center" vertical="center" wrapText="1"/>
    </xf>
    <xf numFmtId="172" fontId="60" fillId="0" borderId="2" xfId="3" applyNumberFormat="1" applyFont="1" applyFill="1" applyBorder="1" applyAlignment="1">
      <alignment horizontal="right" vertical="center" wrapText="1"/>
    </xf>
    <xf numFmtId="172" fontId="58" fillId="0" borderId="2" xfId="3" applyNumberFormat="1" applyFont="1" applyFill="1" applyBorder="1" applyAlignment="1">
      <alignment horizontal="right" vertical="center"/>
    </xf>
    <xf numFmtId="172" fontId="61" fillId="0" borderId="2" xfId="3" applyNumberFormat="1" applyFont="1" applyFill="1" applyBorder="1" applyAlignment="1">
      <alignment horizontal="right" vertical="center"/>
    </xf>
    <xf numFmtId="1" fontId="60" fillId="0" borderId="2" xfId="2" quotePrefix="1" applyNumberFormat="1" applyFont="1" applyBorder="1" applyAlignment="1">
      <alignment horizontal="center" vertical="center"/>
    </xf>
    <xf numFmtId="172" fontId="60" fillId="0" borderId="2" xfId="3" quotePrefix="1" applyNumberFormat="1" applyFont="1" applyFill="1" applyBorder="1" applyAlignment="1">
      <alignment horizontal="right" vertical="center" wrapText="1"/>
    </xf>
    <xf numFmtId="172" fontId="8" fillId="2" borderId="2" xfId="3" applyNumberFormat="1" applyFont="1" applyFill="1" applyBorder="1" applyAlignment="1">
      <alignment horizontal="right" vertical="center" wrapText="1"/>
    </xf>
    <xf numFmtId="166" fontId="58" fillId="0" borderId="2" xfId="3" quotePrefix="1" applyNumberFormat="1" applyFont="1" applyFill="1" applyBorder="1" applyAlignment="1">
      <alignment horizontal="right" vertical="center" wrapText="1"/>
    </xf>
    <xf numFmtId="1" fontId="59" fillId="0" borderId="2" xfId="2" quotePrefix="1" applyNumberFormat="1" applyFont="1" applyBorder="1" applyAlignment="1">
      <alignment vertical="center" wrapText="1"/>
    </xf>
    <xf numFmtId="166" fontId="60" fillId="0" borderId="2" xfId="30" applyNumberFormat="1" applyFont="1" applyFill="1" applyBorder="1" applyAlignment="1">
      <alignment horizontal="right" vertical="center" shrinkToFit="1"/>
    </xf>
    <xf numFmtId="166" fontId="9" fillId="2" borderId="2" xfId="0" applyNumberFormat="1" applyFont="1" applyFill="1" applyBorder="1" applyAlignment="1">
      <alignment horizontal="right" vertical="center" wrapText="1"/>
    </xf>
    <xf numFmtId="3" fontId="9" fillId="2" borderId="2" xfId="0" applyNumberFormat="1" applyFont="1" applyFill="1" applyBorder="1" applyAlignment="1">
      <alignment vertical="center" wrapText="1"/>
    </xf>
    <xf numFmtId="165" fontId="58" fillId="0" borderId="2" xfId="3" quotePrefix="1" applyNumberFormat="1" applyFont="1" applyFill="1" applyBorder="1" applyAlignment="1">
      <alignment vertical="center" wrapText="1"/>
    </xf>
    <xf numFmtId="166" fontId="58" fillId="0" borderId="2" xfId="3" quotePrefix="1" applyNumberFormat="1" applyFont="1" applyFill="1" applyBorder="1" applyAlignment="1">
      <alignment vertical="center" wrapText="1"/>
    </xf>
    <xf numFmtId="0" fontId="68" fillId="0" borderId="2" xfId="0" applyFont="1" applyBorder="1" applyAlignment="1">
      <alignment horizontal="center" vertical="center" wrapText="1"/>
    </xf>
    <xf numFmtId="0" fontId="68" fillId="0" borderId="2" xfId="0" applyFont="1" applyBorder="1" applyAlignment="1">
      <alignment horizontal="left" vertical="center" wrapText="1"/>
    </xf>
    <xf numFmtId="3" fontId="68" fillId="0" borderId="2" xfId="0" applyNumberFormat="1" applyFont="1" applyBorder="1" applyAlignment="1">
      <alignment vertical="center" wrapText="1"/>
    </xf>
    <xf numFmtId="0" fontId="68" fillId="0" borderId="2" xfId="0" applyFont="1" applyBorder="1" applyAlignment="1">
      <alignment vertical="center" wrapText="1"/>
    </xf>
    <xf numFmtId="166" fontId="68" fillId="0" borderId="2" xfId="0" applyNumberFormat="1" applyFont="1" applyBorder="1" applyAlignment="1">
      <alignment vertical="center" wrapText="1"/>
    </xf>
    <xf numFmtId="0" fontId="67" fillId="0" borderId="2" xfId="0" applyFont="1" applyBorder="1" applyAlignment="1">
      <alignment horizontal="center" vertical="center" wrapText="1"/>
    </xf>
    <xf numFmtId="1" fontId="67" fillId="0" borderId="2" xfId="2" applyNumberFormat="1" applyFont="1" applyBorder="1" applyAlignment="1">
      <alignment horizontal="left" vertical="center" wrapText="1"/>
    </xf>
    <xf numFmtId="1" fontId="67" fillId="0" borderId="2" xfId="2" applyNumberFormat="1" applyFont="1" applyBorder="1" applyAlignment="1">
      <alignment horizontal="center" vertical="center" wrapText="1"/>
    </xf>
    <xf numFmtId="171" fontId="67" fillId="0" borderId="2" xfId="3" applyNumberFormat="1" applyFont="1" applyFill="1" applyBorder="1" applyAlignment="1">
      <alignment horizontal="center" vertical="center" wrapText="1"/>
    </xf>
    <xf numFmtId="165" fontId="67" fillId="0" borderId="2" xfId="3" quotePrefix="1" applyNumberFormat="1" applyFont="1" applyFill="1" applyBorder="1" applyAlignment="1">
      <alignment horizontal="center" vertical="center" wrapText="1"/>
    </xf>
    <xf numFmtId="165" fontId="67" fillId="0" borderId="2" xfId="3" quotePrefix="1" applyNumberFormat="1" applyFont="1" applyFill="1" applyBorder="1" applyAlignment="1">
      <alignment horizontal="right" vertical="center" wrapText="1"/>
    </xf>
    <xf numFmtId="165" fontId="67" fillId="0" borderId="2" xfId="3" applyNumberFormat="1" applyFont="1" applyFill="1" applyBorder="1" applyAlignment="1">
      <alignment horizontal="right" vertical="center"/>
    </xf>
    <xf numFmtId="165" fontId="67" fillId="0" borderId="2" xfId="3" applyNumberFormat="1" applyFont="1" applyFill="1" applyBorder="1" applyAlignment="1">
      <alignment vertical="center"/>
    </xf>
    <xf numFmtId="166" fontId="67" fillId="0" borderId="2" xfId="3" applyNumberFormat="1" applyFont="1" applyFill="1" applyBorder="1" applyAlignment="1">
      <alignment vertical="center"/>
    </xf>
    <xf numFmtId="166" fontId="67" fillId="0" borderId="2" xfId="3" applyNumberFormat="1" applyFont="1" applyFill="1" applyBorder="1" applyAlignment="1">
      <alignment horizontal="center" vertical="center" wrapText="1"/>
    </xf>
    <xf numFmtId="166" fontId="67" fillId="0" borderId="2" xfId="3" applyNumberFormat="1" applyFont="1" applyFill="1" applyBorder="1" applyAlignment="1">
      <alignment horizontal="right" vertical="center" wrapText="1"/>
    </xf>
    <xf numFmtId="0" fontId="67" fillId="0" borderId="2" xfId="0" applyFont="1" applyBorder="1" applyAlignment="1">
      <alignment horizontal="center" vertical="center"/>
    </xf>
    <xf numFmtId="167" fontId="67" fillId="0" borderId="2" xfId="0" applyNumberFormat="1" applyFont="1" applyBorder="1" applyAlignment="1">
      <alignment horizontal="center" vertical="center" wrapText="1"/>
    </xf>
    <xf numFmtId="166" fontId="67" fillId="0" borderId="2" xfId="0" applyNumberFormat="1" applyFont="1" applyBorder="1" applyAlignment="1">
      <alignment horizontal="right" vertical="center" wrapText="1"/>
    </xf>
    <xf numFmtId="1" fontId="68" fillId="0" borderId="2" xfId="2" applyNumberFormat="1" applyFont="1" applyBorder="1" applyAlignment="1">
      <alignment horizontal="center" vertical="center" wrapText="1"/>
    </xf>
    <xf numFmtId="166" fontId="67" fillId="0" borderId="2" xfId="3" applyNumberFormat="1" applyFont="1" applyFill="1" applyBorder="1" applyAlignment="1">
      <alignment horizontal="right" vertical="center"/>
    </xf>
    <xf numFmtId="1" fontId="69" fillId="0" borderId="2" xfId="2" applyNumberFormat="1" applyFont="1" applyBorder="1" applyAlignment="1">
      <alignment horizontal="center" vertical="center" wrapText="1"/>
    </xf>
    <xf numFmtId="165" fontId="69" fillId="0" borderId="2" xfId="3" quotePrefix="1" applyNumberFormat="1" applyFont="1" applyFill="1" applyBorder="1" applyAlignment="1">
      <alignment horizontal="right" vertical="center" wrapText="1"/>
    </xf>
    <xf numFmtId="166" fontId="69" fillId="0" borderId="2" xfId="3" applyNumberFormat="1" applyFont="1" applyFill="1" applyBorder="1" applyAlignment="1">
      <alignment vertical="center"/>
    </xf>
    <xf numFmtId="3" fontId="67" fillId="0" borderId="2" xfId="0" applyNumberFormat="1" applyFont="1" applyBorder="1" applyAlignment="1">
      <alignment vertical="center" wrapText="1"/>
    </xf>
    <xf numFmtId="1" fontId="32" fillId="0" borderId="2" xfId="2" applyNumberFormat="1" applyFont="1" applyBorder="1" applyAlignment="1">
      <alignment horizontal="center" vertical="center"/>
    </xf>
    <xf numFmtId="1" fontId="8" fillId="0" borderId="2" xfId="2" applyNumberFormat="1" applyFont="1" applyBorder="1" applyAlignment="1">
      <alignment horizontal="center" vertical="center" wrapText="1"/>
    </xf>
    <xf numFmtId="166" fontId="13" fillId="2" borderId="2" xfId="3" quotePrefix="1" applyNumberFormat="1" applyFont="1" applyFill="1" applyBorder="1" applyAlignment="1">
      <alignment horizontal="right" vertical="center" wrapText="1"/>
    </xf>
    <xf numFmtId="165" fontId="13" fillId="2" borderId="2" xfId="3" quotePrefix="1" applyNumberFormat="1" applyFont="1" applyFill="1" applyBorder="1" applyAlignment="1">
      <alignment horizontal="right" vertical="center" wrapText="1"/>
    </xf>
    <xf numFmtId="3" fontId="67" fillId="0" borderId="2" xfId="2" applyNumberFormat="1" applyFont="1" applyBorder="1" applyAlignment="1">
      <alignment vertical="center"/>
    </xf>
    <xf numFmtId="0" fontId="61" fillId="0" borderId="2" xfId="0" applyFont="1" applyBorder="1" applyAlignment="1">
      <alignment horizontal="center" vertical="center" wrapText="1"/>
    </xf>
    <xf numFmtId="165" fontId="8" fillId="2" borderId="2" xfId="3" applyNumberFormat="1" applyFont="1" applyFill="1" applyBorder="1" applyAlignment="1">
      <alignment vertical="center"/>
    </xf>
    <xf numFmtId="0" fontId="8" fillId="2" borderId="2" xfId="2" applyFont="1" applyFill="1" applyBorder="1" applyAlignment="1">
      <alignment horizontal="center" vertical="center" wrapText="1"/>
    </xf>
    <xf numFmtId="1" fontId="13" fillId="2" borderId="2" xfId="2" applyNumberFormat="1" applyFont="1" applyFill="1" applyBorder="1" applyAlignment="1">
      <alignment vertical="center"/>
    </xf>
    <xf numFmtId="166" fontId="8" fillId="2" borderId="2" xfId="2" quotePrefix="1" applyNumberFormat="1" applyFont="1" applyFill="1" applyBorder="1" applyAlignment="1">
      <alignment horizontal="right" vertical="center" wrapText="1"/>
    </xf>
    <xf numFmtId="3" fontId="9" fillId="2" borderId="2" xfId="2" quotePrefix="1" applyNumberFormat="1" applyFont="1" applyFill="1" applyBorder="1" applyAlignment="1">
      <alignment horizontal="right" vertical="center" wrapText="1"/>
    </xf>
    <xf numFmtId="171" fontId="9" fillId="2" borderId="2" xfId="2" quotePrefix="1" applyNumberFormat="1" applyFont="1" applyFill="1" applyBorder="1" applyAlignment="1">
      <alignment horizontal="right" vertical="center" wrapText="1"/>
    </xf>
    <xf numFmtId="0" fontId="68" fillId="0" borderId="2" xfId="2" applyFont="1" applyBorder="1" applyAlignment="1">
      <alignment horizontal="center" vertical="center" wrapText="1"/>
    </xf>
    <xf numFmtId="3" fontId="68" fillId="0" borderId="2" xfId="2" quotePrefix="1" applyNumberFormat="1" applyFont="1" applyBorder="1" applyAlignment="1">
      <alignment horizontal="right" vertical="center" wrapText="1"/>
    </xf>
    <xf numFmtId="172" fontId="68" fillId="0" borderId="2" xfId="2" quotePrefix="1" applyNumberFormat="1" applyFont="1" applyBorder="1" applyAlignment="1">
      <alignment horizontal="right" vertical="center" wrapText="1"/>
    </xf>
    <xf numFmtId="0" fontId="68" fillId="0" borderId="2" xfId="2" quotePrefix="1" applyFont="1" applyBorder="1" applyAlignment="1">
      <alignment horizontal="center" vertical="center" wrapText="1"/>
    </xf>
    <xf numFmtId="0" fontId="60" fillId="0" borderId="2" xfId="0" applyFont="1" applyBorder="1" applyAlignment="1">
      <alignment horizontal="left" wrapText="1"/>
    </xf>
    <xf numFmtId="0" fontId="58" fillId="0" borderId="2" xfId="8" applyFont="1" applyBorder="1" applyAlignment="1">
      <alignment vertical="center" wrapText="1"/>
    </xf>
    <xf numFmtId="171" fontId="68" fillId="0" borderId="2" xfId="2" quotePrefix="1" applyNumberFormat="1" applyFont="1" applyBorder="1" applyAlignment="1">
      <alignment horizontal="right" vertical="center" wrapText="1"/>
    </xf>
    <xf numFmtId="0" fontId="60" fillId="0" borderId="2" xfId="2" quotePrefix="1" applyFont="1" applyBorder="1" applyAlignment="1">
      <alignment horizontal="center" vertical="center" wrapText="1"/>
    </xf>
    <xf numFmtId="0" fontId="67" fillId="0" borderId="2" xfId="16" applyFont="1" applyBorder="1" applyAlignment="1">
      <alignment vertical="center" wrapText="1"/>
    </xf>
    <xf numFmtId="171" fontId="60" fillId="0" borderId="2" xfId="2" applyNumberFormat="1" applyFont="1" applyBorder="1" applyAlignment="1">
      <alignment horizontal="center" vertical="center" wrapText="1"/>
    </xf>
    <xf numFmtId="0" fontId="60" fillId="0" borderId="2" xfId="0" quotePrefix="1" applyFont="1" applyBorder="1" applyAlignment="1">
      <alignment horizontal="center" vertical="center" wrapText="1"/>
    </xf>
    <xf numFmtId="171" fontId="68" fillId="0" borderId="2" xfId="2" quotePrefix="1" applyNumberFormat="1" applyFont="1" applyBorder="1" applyAlignment="1">
      <alignment horizontal="center" vertical="center" wrapText="1"/>
    </xf>
    <xf numFmtId="0" fontId="70" fillId="0" borderId="2" xfId="0" applyFont="1" applyBorder="1"/>
    <xf numFmtId="49" fontId="60" fillId="0" borderId="2" xfId="2" quotePrefix="1" applyNumberFormat="1" applyFont="1" applyBorder="1" applyAlignment="1">
      <alignment horizontal="center" vertical="center"/>
    </xf>
    <xf numFmtId="1" fontId="8" fillId="2" borderId="2" xfId="2" applyNumberFormat="1" applyFont="1" applyFill="1" applyBorder="1" applyAlignment="1">
      <alignment horizontal="right" vertical="center"/>
    </xf>
    <xf numFmtId="1" fontId="68" fillId="10" borderId="2" xfId="2" applyNumberFormat="1" applyFont="1" applyFill="1" applyBorder="1" applyAlignment="1">
      <alignment horizontal="center" vertical="center"/>
    </xf>
    <xf numFmtId="1" fontId="68" fillId="10" borderId="2" xfId="2" applyNumberFormat="1" applyFont="1" applyFill="1" applyBorder="1" applyAlignment="1">
      <alignment horizontal="left" vertical="center" wrapText="1"/>
    </xf>
    <xf numFmtId="1" fontId="68" fillId="10" borderId="2" xfId="2" applyNumberFormat="1" applyFont="1" applyFill="1" applyBorder="1" applyAlignment="1">
      <alignment horizontal="center" vertical="center" wrapText="1"/>
    </xf>
    <xf numFmtId="3" fontId="67" fillId="10" borderId="2" xfId="2" quotePrefix="1" applyNumberFormat="1" applyFont="1" applyFill="1" applyBorder="1" applyAlignment="1">
      <alignment horizontal="center" vertical="center" wrapText="1"/>
    </xf>
    <xf numFmtId="1" fontId="60" fillId="10" borderId="2" xfId="2" applyNumberFormat="1" applyFont="1" applyFill="1" applyBorder="1" applyAlignment="1">
      <alignment horizontal="center" vertical="center" wrapText="1"/>
    </xf>
    <xf numFmtId="1" fontId="60" fillId="10" borderId="2" xfId="2" applyNumberFormat="1" applyFont="1" applyFill="1" applyBorder="1" applyAlignment="1">
      <alignment horizontal="right" vertical="center"/>
    </xf>
    <xf numFmtId="166" fontId="58" fillId="10" borderId="2" xfId="1" quotePrefix="1" applyNumberFormat="1" applyFont="1" applyFill="1" applyBorder="1" applyAlignment="1">
      <alignment horizontal="right" vertical="center" wrapText="1"/>
    </xf>
    <xf numFmtId="172" fontId="21" fillId="10" borderId="2" xfId="1" applyNumberFormat="1" applyFont="1" applyFill="1" applyBorder="1" applyAlignment="1">
      <alignment horizontal="right" vertical="center"/>
    </xf>
    <xf numFmtId="1" fontId="8" fillId="10" borderId="0" xfId="2" applyNumberFormat="1" applyFont="1" applyFill="1" applyAlignment="1">
      <alignment horizontal="right" vertical="center"/>
    </xf>
    <xf numFmtId="1" fontId="8" fillId="10" borderId="0" xfId="2" applyNumberFormat="1" applyFont="1" applyFill="1" applyAlignment="1">
      <alignment vertical="center"/>
    </xf>
    <xf numFmtId="3" fontId="58" fillId="0" borderId="2" xfId="2" quotePrefix="1" applyNumberFormat="1" applyFont="1" applyBorder="1" applyAlignment="1">
      <alignment horizontal="center" vertical="center" wrapText="1"/>
    </xf>
    <xf numFmtId="1" fontId="58" fillId="0" borderId="2" xfId="2" applyNumberFormat="1" applyFont="1" applyBorder="1" applyAlignment="1">
      <alignment horizontal="right" vertical="center"/>
    </xf>
    <xf numFmtId="172" fontId="21" fillId="2" borderId="2" xfId="1" applyNumberFormat="1" applyFont="1" applyFill="1" applyBorder="1" applyAlignment="1">
      <alignment horizontal="right" vertical="center"/>
    </xf>
    <xf numFmtId="1" fontId="21" fillId="2" borderId="0" xfId="2" applyNumberFormat="1" applyFont="1" applyFill="1" applyAlignment="1">
      <alignment horizontal="right" vertical="center"/>
    </xf>
    <xf numFmtId="1" fontId="67" fillId="0" borderId="2" xfId="2" quotePrefix="1" applyNumberFormat="1" applyFont="1" applyBorder="1" applyAlignment="1">
      <alignment horizontal="center" vertical="center"/>
    </xf>
    <xf numFmtId="0" fontId="67" fillId="0" borderId="2" xfId="0" applyFont="1" applyBorder="1" applyAlignment="1">
      <alignment vertical="center" wrapText="1"/>
    </xf>
    <xf numFmtId="3" fontId="67" fillId="0" borderId="2" xfId="2" quotePrefix="1" applyNumberFormat="1" applyFont="1" applyBorder="1" applyAlignment="1">
      <alignment horizontal="center" vertical="center" wrapText="1"/>
    </xf>
    <xf numFmtId="1" fontId="60" fillId="0" borderId="2" xfId="2" applyNumberFormat="1" applyFont="1" applyBorder="1" applyAlignment="1">
      <alignment horizontal="right" vertical="center"/>
    </xf>
    <xf numFmtId="172" fontId="8" fillId="2" borderId="2" xfId="1" applyNumberFormat="1" applyFont="1" applyFill="1" applyBorder="1" applyAlignment="1">
      <alignment horizontal="right" vertical="center"/>
    </xf>
    <xf numFmtId="166" fontId="60" fillId="0" borderId="2" xfId="2" applyNumberFormat="1" applyFont="1" applyBorder="1" applyAlignment="1">
      <alignment horizontal="right" vertical="center"/>
    </xf>
    <xf numFmtId="172" fontId="8" fillId="2" borderId="2" xfId="2" applyNumberFormat="1" applyFont="1" applyFill="1" applyBorder="1" applyAlignment="1">
      <alignment vertical="center"/>
    </xf>
    <xf numFmtId="1" fontId="68" fillId="0" borderId="2" xfId="2" applyNumberFormat="1" applyFont="1" applyBorder="1" applyAlignment="1">
      <alignment horizontal="center" vertical="center"/>
    </xf>
    <xf numFmtId="1" fontId="68" fillId="0" borderId="2" xfId="2" applyNumberFormat="1" applyFont="1" applyBorder="1" applyAlignment="1">
      <alignment horizontal="left" vertical="center" wrapText="1"/>
    </xf>
    <xf numFmtId="172" fontId="71" fillId="0" borderId="2" xfId="1" applyNumberFormat="1" applyFont="1" applyFill="1" applyBorder="1" applyAlignment="1">
      <alignment horizontal="right" vertical="center" shrinkToFit="1"/>
    </xf>
    <xf numFmtId="166" fontId="60" fillId="0" borderId="2" xfId="1" applyNumberFormat="1" applyFont="1" applyFill="1" applyBorder="1" applyAlignment="1">
      <alignment horizontal="right" vertical="center" shrinkToFit="1"/>
    </xf>
    <xf numFmtId="1" fontId="21" fillId="0" borderId="0" xfId="2" applyNumberFormat="1" applyFont="1" applyAlignment="1">
      <alignment horizontal="right" vertical="center"/>
    </xf>
    <xf numFmtId="49" fontId="67" fillId="0" borderId="2" xfId="37" applyNumberFormat="1" applyFont="1" applyBorder="1" applyAlignment="1">
      <alignment vertical="center" wrapText="1"/>
    </xf>
    <xf numFmtId="171" fontId="67" fillId="0" borderId="2" xfId="2" quotePrefix="1" applyNumberFormat="1" applyFont="1" applyBorder="1" applyAlignment="1">
      <alignment horizontal="center" vertical="center" wrapText="1"/>
    </xf>
    <xf numFmtId="3" fontId="67" fillId="0" borderId="2" xfId="38" quotePrefix="1" applyNumberFormat="1" applyFont="1" applyBorder="1" applyAlignment="1">
      <alignment horizontal="center" vertical="center" wrapText="1"/>
    </xf>
    <xf numFmtId="172" fontId="71" fillId="0" borderId="2" xfId="1" quotePrefix="1" applyNumberFormat="1" applyFont="1" applyFill="1" applyBorder="1" applyAlignment="1">
      <alignment horizontal="right" vertical="center" wrapText="1"/>
    </xf>
    <xf numFmtId="1" fontId="8" fillId="0" borderId="0" xfId="2" applyNumberFormat="1" applyFont="1" applyAlignment="1">
      <alignment horizontal="right" vertical="center"/>
    </xf>
    <xf numFmtId="1" fontId="8" fillId="0" borderId="0" xfId="2" applyNumberFormat="1" applyFont="1" applyAlignment="1">
      <alignment vertical="center"/>
    </xf>
    <xf numFmtId="3" fontId="67" fillId="0" borderId="2" xfId="2" applyNumberFormat="1" applyFont="1" applyBorder="1" applyAlignment="1">
      <alignment horizontal="center" vertical="center"/>
    </xf>
    <xf numFmtId="3" fontId="67" fillId="0" borderId="2" xfId="39" applyNumberFormat="1" applyFont="1" applyFill="1" applyBorder="1" applyAlignment="1" applyProtection="1">
      <alignment horizontal="center" vertical="center" wrapText="1"/>
    </xf>
    <xf numFmtId="172" fontId="73" fillId="0" borderId="2" xfId="1" applyNumberFormat="1" applyFont="1" applyFill="1" applyBorder="1" applyAlignment="1">
      <alignment horizontal="right" vertical="center"/>
    </xf>
    <xf numFmtId="166" fontId="67" fillId="0" borderId="2" xfId="1" applyNumberFormat="1" applyFont="1" applyFill="1" applyBorder="1" applyAlignment="1">
      <alignment horizontal="right" vertical="center"/>
    </xf>
    <xf numFmtId="0" fontId="67" fillId="0" borderId="2" xfId="0" applyFont="1" applyBorder="1" applyAlignment="1">
      <alignment wrapText="1"/>
    </xf>
    <xf numFmtId="172" fontId="71" fillId="0" borderId="2" xfId="1" applyNumberFormat="1" applyFont="1" applyFill="1" applyBorder="1" applyAlignment="1">
      <alignment horizontal="right" vertical="center" wrapText="1"/>
    </xf>
    <xf numFmtId="166" fontId="60" fillId="0" borderId="2" xfId="1" applyNumberFormat="1" applyFont="1" applyFill="1" applyBorder="1" applyAlignment="1">
      <alignment horizontal="right" vertical="center" wrapText="1"/>
    </xf>
    <xf numFmtId="172" fontId="21" fillId="0" borderId="2" xfId="1" applyNumberFormat="1" applyFont="1" applyFill="1" applyBorder="1" applyAlignment="1">
      <alignment horizontal="right" vertical="center"/>
    </xf>
    <xf numFmtId="172" fontId="74" fillId="0" borderId="2" xfId="1" applyNumberFormat="1" applyFont="1" applyFill="1" applyBorder="1" applyAlignment="1">
      <alignment horizontal="right" vertical="center" wrapText="1"/>
    </xf>
    <xf numFmtId="166" fontId="75" fillId="0" borderId="2" xfId="1" applyNumberFormat="1" applyFont="1" applyFill="1" applyBorder="1" applyAlignment="1">
      <alignment horizontal="right" vertical="center" wrapText="1"/>
    </xf>
    <xf numFmtId="172" fontId="8" fillId="0" borderId="2" xfId="1" applyNumberFormat="1" applyFont="1" applyFill="1" applyBorder="1" applyAlignment="1">
      <alignment horizontal="right" vertical="center"/>
    </xf>
    <xf numFmtId="172" fontId="76" fillId="0" borderId="2" xfId="1" applyNumberFormat="1" applyFont="1" applyFill="1" applyBorder="1" applyAlignment="1">
      <alignment horizontal="right" vertical="center" wrapText="1"/>
    </xf>
    <xf numFmtId="166" fontId="8" fillId="0" borderId="2" xfId="1" applyNumberFormat="1" applyFont="1" applyFill="1" applyBorder="1" applyAlignment="1">
      <alignment horizontal="right" vertical="center"/>
    </xf>
    <xf numFmtId="171" fontId="58" fillId="10" borderId="2" xfId="3" applyNumberFormat="1" applyFont="1" applyFill="1" applyBorder="1" applyAlignment="1">
      <alignment horizontal="center" vertical="center" wrapText="1"/>
    </xf>
    <xf numFmtId="171" fontId="58" fillId="10" borderId="2" xfId="3" applyNumberFormat="1" applyFont="1" applyFill="1" applyBorder="1" applyAlignment="1">
      <alignment horizontal="left" vertical="center" wrapText="1"/>
    </xf>
    <xf numFmtId="1" fontId="60" fillId="10" borderId="2" xfId="2" quotePrefix="1" applyNumberFormat="1" applyFont="1" applyFill="1" applyBorder="1" applyAlignment="1">
      <alignment horizontal="center" vertical="center" wrapText="1"/>
    </xf>
    <xf numFmtId="3" fontId="77" fillId="10" borderId="2" xfId="2" quotePrefix="1" applyNumberFormat="1" applyFont="1" applyFill="1" applyBorder="1" applyAlignment="1">
      <alignment horizontal="center" vertical="center" wrapText="1"/>
    </xf>
    <xf numFmtId="166" fontId="60" fillId="0" borderId="2" xfId="40" applyNumberFormat="1" applyFont="1" applyFill="1" applyBorder="1" applyAlignment="1">
      <alignment horizontal="right" vertical="center" shrinkToFit="1"/>
    </xf>
    <xf numFmtId="1" fontId="8" fillId="2" borderId="2" xfId="2" applyNumberFormat="1" applyFont="1" applyFill="1" applyBorder="1" applyAlignment="1">
      <alignment horizontal="center" vertical="center" wrapText="1"/>
    </xf>
    <xf numFmtId="1" fontId="7" fillId="2" borderId="0" xfId="2" applyNumberFormat="1" applyFont="1" applyFill="1" applyAlignment="1">
      <alignment horizontal="right" vertical="center"/>
    </xf>
    <xf numFmtId="1" fontId="9" fillId="2" borderId="0" xfId="2" applyNumberFormat="1" applyFont="1" applyFill="1" applyAlignment="1">
      <alignment horizontal="center" vertical="center"/>
    </xf>
    <xf numFmtId="1" fontId="21" fillId="2" borderId="0" xfId="2" applyNumberFormat="1" applyFont="1" applyFill="1" applyAlignment="1">
      <alignment horizontal="center" vertical="center" wrapText="1"/>
    </xf>
    <xf numFmtId="1" fontId="13" fillId="2" borderId="0" xfId="2" applyNumberFormat="1" applyFont="1" applyFill="1" applyAlignment="1">
      <alignment horizontal="center" vertical="center" wrapText="1"/>
    </xf>
    <xf numFmtId="166" fontId="60" fillId="0" borderId="2" xfId="41" applyNumberFormat="1" applyFont="1" applyFill="1" applyBorder="1" applyAlignment="1">
      <alignment horizontal="right" vertical="center" shrinkToFit="1"/>
    </xf>
    <xf numFmtId="169" fontId="39" fillId="2" borderId="2" xfId="41" applyNumberFormat="1" applyFont="1" applyFill="1" applyBorder="1" applyAlignment="1">
      <alignment horizontal="right" vertical="center" shrinkToFit="1"/>
    </xf>
    <xf numFmtId="167" fontId="39" fillId="2" borderId="2" xfId="41" applyNumberFormat="1" applyFont="1" applyFill="1" applyBorder="1" applyAlignment="1">
      <alignment horizontal="right" vertical="center" shrinkToFit="1"/>
    </xf>
    <xf numFmtId="167" fontId="60" fillId="0" borderId="2" xfId="41" applyNumberFormat="1" applyFont="1" applyFill="1" applyBorder="1" applyAlignment="1">
      <alignment horizontal="right" vertical="center" shrinkToFit="1"/>
    </xf>
    <xf numFmtId="167" fontId="39" fillId="0" borderId="2" xfId="41" applyNumberFormat="1" applyFont="1" applyFill="1" applyBorder="1" applyAlignment="1">
      <alignment horizontal="right" vertical="center" shrinkToFit="1"/>
    </xf>
    <xf numFmtId="171" fontId="21" fillId="10" borderId="0" xfId="1" applyNumberFormat="1" applyFont="1" applyFill="1" applyAlignment="1">
      <alignment vertical="center"/>
    </xf>
    <xf numFmtId="3" fontId="13" fillId="2" borderId="2" xfId="2" applyNumberFormat="1" applyFont="1" applyFill="1" applyBorder="1" applyAlignment="1">
      <alignment horizontal="center" vertical="center" wrapText="1"/>
    </xf>
    <xf numFmtId="3" fontId="8" fillId="2" borderId="2" xfId="2" applyNumberFormat="1" applyFont="1" applyFill="1" applyBorder="1" applyAlignment="1">
      <alignment horizontal="center" vertical="center" wrapText="1"/>
    </xf>
    <xf numFmtId="3" fontId="13" fillId="2" borderId="6" xfId="2" applyNumberFormat="1" applyFont="1" applyFill="1" applyBorder="1" applyAlignment="1">
      <alignment horizontal="center" vertical="center" wrapText="1"/>
    </xf>
    <xf numFmtId="3" fontId="13" fillId="2" borderId="7" xfId="2" applyNumberFormat="1" applyFont="1" applyFill="1" applyBorder="1" applyAlignment="1">
      <alignment horizontal="center" vertical="center" wrapText="1"/>
    </xf>
    <xf numFmtId="3" fontId="13" fillId="2" borderId="13" xfId="2" applyNumberFormat="1" applyFont="1" applyFill="1" applyBorder="1" applyAlignment="1">
      <alignment horizontal="center" vertical="center" wrapText="1"/>
    </xf>
    <xf numFmtId="1" fontId="8" fillId="2" borderId="6" xfId="2" applyNumberFormat="1" applyFont="1" applyFill="1" applyBorder="1" applyAlignment="1">
      <alignment horizontal="center" vertical="center"/>
    </xf>
    <xf numFmtId="1" fontId="8" fillId="2" borderId="7" xfId="2" applyNumberFormat="1" applyFont="1" applyFill="1" applyBorder="1" applyAlignment="1">
      <alignment horizontal="center" vertical="center"/>
    </xf>
    <xf numFmtId="1" fontId="8" fillId="2" borderId="13" xfId="2" applyNumberFormat="1" applyFont="1" applyFill="1" applyBorder="1" applyAlignment="1">
      <alignment horizontal="center" vertical="center"/>
    </xf>
    <xf numFmtId="3" fontId="8" fillId="2" borderId="6" xfId="2" quotePrefix="1" applyNumberFormat="1" applyFont="1" applyFill="1" applyBorder="1" applyAlignment="1">
      <alignment horizontal="center" vertical="center" wrapText="1"/>
    </xf>
    <xf numFmtId="3" fontId="8" fillId="2" borderId="7" xfId="2" quotePrefix="1" applyNumberFormat="1" applyFont="1" applyFill="1" applyBorder="1" applyAlignment="1">
      <alignment horizontal="center" vertical="center" wrapText="1"/>
    </xf>
    <xf numFmtId="3" fontId="8" fillId="2" borderId="10" xfId="2" applyNumberFormat="1" applyFont="1" applyFill="1" applyBorder="1" applyAlignment="1">
      <alignment horizontal="center" vertical="center" wrapText="1"/>
    </xf>
    <xf numFmtId="3" fontId="8" fillId="2" borderId="11" xfId="2" applyNumberFormat="1" applyFont="1" applyFill="1" applyBorder="1" applyAlignment="1">
      <alignment horizontal="center" vertical="center" wrapText="1"/>
    </xf>
    <xf numFmtId="3" fontId="8" fillId="2" borderId="5" xfId="2" applyNumberFormat="1" applyFont="1" applyFill="1" applyBorder="1" applyAlignment="1">
      <alignment horizontal="center" vertical="center" wrapText="1"/>
    </xf>
    <xf numFmtId="3" fontId="8" fillId="2" borderId="12" xfId="2" applyNumberFormat="1" applyFont="1" applyFill="1" applyBorder="1" applyAlignment="1">
      <alignment horizontal="center" vertical="center" wrapText="1"/>
    </xf>
    <xf numFmtId="3" fontId="8" fillId="2" borderId="9" xfId="2" applyNumberFormat="1" applyFont="1" applyFill="1" applyBorder="1" applyAlignment="1">
      <alignment horizontal="center" vertical="center" wrapText="1"/>
    </xf>
    <xf numFmtId="1" fontId="8" fillId="2" borderId="2" xfId="2" applyNumberFormat="1" applyFont="1" applyFill="1" applyBorder="1" applyAlignment="1">
      <alignment horizontal="center" vertical="center" wrapText="1"/>
    </xf>
    <xf numFmtId="3" fontId="32" fillId="2" borderId="6" xfId="2" applyNumberFormat="1" applyFont="1" applyFill="1" applyBorder="1" applyAlignment="1">
      <alignment horizontal="center" vertical="center" wrapText="1"/>
    </xf>
    <xf numFmtId="3" fontId="32" fillId="2" borderId="7" xfId="2" applyNumberFormat="1" applyFont="1" applyFill="1" applyBorder="1" applyAlignment="1">
      <alignment horizontal="center" vertical="center" wrapText="1"/>
    </xf>
    <xf numFmtId="3" fontId="32" fillId="2" borderId="13" xfId="2" applyNumberFormat="1" applyFont="1" applyFill="1" applyBorder="1" applyAlignment="1">
      <alignment horizontal="center" vertical="center" wrapText="1"/>
    </xf>
    <xf numFmtId="3" fontId="8" fillId="2" borderId="3" xfId="2" quotePrefix="1" applyNumberFormat="1" applyFont="1" applyFill="1" applyBorder="1" applyAlignment="1">
      <alignment horizontal="center" vertical="center" wrapText="1"/>
    </xf>
    <xf numFmtId="3" fontId="8" fillId="2" borderId="5" xfId="2" quotePrefix="1" applyNumberFormat="1" applyFont="1" applyFill="1" applyBorder="1" applyAlignment="1">
      <alignment horizontal="center" vertical="center" wrapText="1"/>
    </xf>
    <xf numFmtId="3" fontId="8" fillId="2" borderId="8" xfId="2" quotePrefix="1" applyNumberFormat="1" applyFont="1" applyFill="1" applyBorder="1" applyAlignment="1">
      <alignment horizontal="center" vertical="center" wrapText="1"/>
    </xf>
    <xf numFmtId="3" fontId="8" fillId="2" borderId="9" xfId="2" quotePrefix="1" applyNumberFormat="1" applyFont="1" applyFill="1" applyBorder="1" applyAlignment="1">
      <alignment horizontal="center" vertical="center" wrapText="1"/>
    </xf>
    <xf numFmtId="3" fontId="8" fillId="2" borderId="4" xfId="2" applyNumberFormat="1" applyFont="1" applyFill="1" applyBorder="1" applyAlignment="1">
      <alignment horizontal="center" vertical="center" wrapText="1"/>
    </xf>
    <xf numFmtId="3" fontId="8" fillId="2" borderId="1" xfId="2" applyNumberFormat="1" applyFont="1" applyFill="1" applyBorder="1" applyAlignment="1">
      <alignment horizontal="center" vertical="center" wrapText="1"/>
    </xf>
    <xf numFmtId="1" fontId="7" fillId="2" borderId="0" xfId="2" applyNumberFormat="1" applyFont="1" applyFill="1" applyAlignment="1">
      <alignment horizontal="right" vertical="center"/>
    </xf>
    <xf numFmtId="1" fontId="9" fillId="2" borderId="0" xfId="2" applyNumberFormat="1" applyFont="1" applyFill="1" applyAlignment="1">
      <alignment horizontal="center" vertical="center"/>
    </xf>
    <xf numFmtId="1" fontId="21" fillId="2" borderId="0" xfId="2" applyNumberFormat="1" applyFont="1" applyFill="1" applyAlignment="1">
      <alignment horizontal="center" vertical="center" wrapText="1"/>
    </xf>
    <xf numFmtId="1" fontId="13" fillId="2" borderId="0" xfId="2" applyNumberFormat="1" applyFont="1" applyFill="1" applyAlignment="1">
      <alignment horizontal="center" vertical="center" wrapText="1"/>
    </xf>
    <xf numFmtId="1" fontId="13" fillId="2" borderId="1" xfId="2" applyNumberFormat="1" applyFont="1" applyFill="1" applyBorder="1" applyAlignment="1">
      <alignment horizontal="right" vertical="center"/>
    </xf>
    <xf numFmtId="1" fontId="14" fillId="2" borderId="2" xfId="2" applyNumberFormat="1" applyFont="1" applyFill="1" applyBorder="1" applyAlignment="1">
      <alignment horizontal="center" vertical="center" wrapText="1"/>
    </xf>
    <xf numFmtId="3" fontId="14" fillId="2" borderId="2" xfId="2" applyNumberFormat="1" applyFont="1" applyFill="1" applyBorder="1" applyAlignment="1">
      <alignment horizontal="center" vertical="center" wrapText="1"/>
    </xf>
    <xf numFmtId="1" fontId="14" fillId="2" borderId="6" xfId="2" applyNumberFormat="1" applyFont="1" applyFill="1" applyBorder="1" applyAlignment="1">
      <alignment horizontal="center" vertical="center"/>
    </xf>
    <xf numFmtId="1" fontId="14" fillId="2" borderId="7" xfId="2" applyNumberFormat="1" applyFont="1" applyFill="1" applyBorder="1" applyAlignment="1">
      <alignment horizontal="center" vertical="center"/>
    </xf>
    <xf numFmtId="1" fontId="14" fillId="2" borderId="13" xfId="2" applyNumberFormat="1" applyFont="1" applyFill="1" applyBorder="1" applyAlignment="1">
      <alignment horizontal="center" vertical="center"/>
    </xf>
    <xf numFmtId="3" fontId="19" fillId="2" borderId="2" xfId="2" applyNumberFormat="1" applyFont="1" applyFill="1" applyBorder="1" applyAlignment="1">
      <alignment horizontal="center" vertical="center" wrapText="1"/>
    </xf>
    <xf numFmtId="3" fontId="21" fillId="2" borderId="10" xfId="10" applyNumberFormat="1" applyFont="1" applyFill="1" applyBorder="1" applyAlignment="1">
      <alignment horizontal="center" vertical="center" wrapText="1"/>
    </xf>
    <xf numFmtId="3" fontId="21" fillId="2" borderId="11" xfId="10" applyNumberFormat="1" applyFont="1" applyFill="1" applyBorder="1" applyAlignment="1">
      <alignment horizontal="center" vertical="center" wrapText="1"/>
    </xf>
    <xf numFmtId="169" fontId="8" fillId="2" borderId="15" xfId="2" applyNumberFormat="1" applyFont="1" applyFill="1" applyBorder="1" applyAlignment="1">
      <alignment horizontal="center" vertical="center" wrapText="1"/>
    </xf>
    <xf numFmtId="169" fontId="8" fillId="2" borderId="12" xfId="2" applyNumberFormat="1" applyFont="1" applyFill="1" applyBorder="1" applyAlignment="1">
      <alignment horizontal="center" vertical="center" wrapText="1"/>
    </xf>
    <xf numFmtId="3" fontId="19" fillId="2" borderId="6" xfId="2" applyNumberFormat="1" applyFont="1" applyFill="1" applyBorder="1" applyAlignment="1">
      <alignment horizontal="center" vertical="center" wrapText="1"/>
    </xf>
    <xf numFmtId="3" fontId="19" fillId="2" borderId="7" xfId="2" applyNumberFormat="1" applyFont="1" applyFill="1" applyBorder="1" applyAlignment="1">
      <alignment horizontal="center" vertical="center" wrapText="1"/>
    </xf>
    <xf numFmtId="3" fontId="19" fillId="2" borderId="13" xfId="2" applyNumberFormat="1" applyFont="1" applyFill="1" applyBorder="1" applyAlignment="1">
      <alignment horizontal="center" vertical="center" wrapText="1"/>
    </xf>
    <xf numFmtId="3" fontId="14" fillId="2" borderId="6" xfId="2" quotePrefix="1" applyNumberFormat="1" applyFont="1" applyFill="1" applyBorder="1" applyAlignment="1">
      <alignment horizontal="center" vertical="center" wrapText="1"/>
    </xf>
    <xf numFmtId="3" fontId="14" fillId="2" borderId="7" xfId="2" quotePrefix="1" applyNumberFormat="1" applyFont="1" applyFill="1" applyBorder="1" applyAlignment="1">
      <alignment horizontal="center" vertical="center" wrapText="1"/>
    </xf>
    <xf numFmtId="3" fontId="14" fillId="2" borderId="5" xfId="2" applyNumberFormat="1" applyFont="1" applyFill="1" applyBorder="1" applyAlignment="1">
      <alignment horizontal="center" vertical="center" wrapText="1"/>
    </xf>
    <xf numFmtId="3" fontId="14" fillId="2" borderId="12" xfId="2" applyNumberFormat="1" applyFont="1" applyFill="1" applyBorder="1" applyAlignment="1">
      <alignment horizontal="center" vertical="center" wrapText="1"/>
    </xf>
    <xf numFmtId="3" fontId="14" fillId="2" borderId="9" xfId="2" applyNumberFormat="1" applyFont="1" applyFill="1" applyBorder="1" applyAlignment="1">
      <alignment horizontal="center" vertical="center" wrapText="1"/>
    </xf>
    <xf numFmtId="3" fontId="46" fillId="2" borderId="6" xfId="2" applyNumberFormat="1" applyFont="1" applyFill="1" applyBorder="1" applyAlignment="1">
      <alignment horizontal="center" vertical="center" wrapText="1"/>
    </xf>
    <xf numFmtId="3" fontId="46" fillId="2" borderId="7" xfId="2" applyNumberFormat="1" applyFont="1" applyFill="1" applyBorder="1" applyAlignment="1">
      <alignment horizontal="center" vertical="center" wrapText="1"/>
    </xf>
    <xf numFmtId="3" fontId="46" fillId="2" borderId="13" xfId="2" applyNumberFormat="1" applyFont="1" applyFill="1" applyBorder="1" applyAlignment="1">
      <alignment horizontal="center" vertical="center" wrapText="1"/>
    </xf>
    <xf numFmtId="3" fontId="14" fillId="2" borderId="3" xfId="2" quotePrefix="1" applyNumberFormat="1" applyFont="1" applyFill="1" applyBorder="1" applyAlignment="1">
      <alignment horizontal="center" vertical="center" wrapText="1"/>
    </xf>
    <xf numFmtId="3" fontId="14" fillId="2" borderId="5" xfId="2" quotePrefix="1" applyNumberFormat="1" applyFont="1" applyFill="1" applyBorder="1" applyAlignment="1">
      <alignment horizontal="center" vertical="center" wrapText="1"/>
    </xf>
    <xf numFmtId="3" fontId="14" fillId="2" borderId="8" xfId="2" quotePrefix="1" applyNumberFormat="1" applyFont="1" applyFill="1" applyBorder="1" applyAlignment="1">
      <alignment horizontal="center" vertical="center" wrapText="1"/>
    </xf>
    <xf numFmtId="3" fontId="14" fillId="2" borderId="9" xfId="2" quotePrefix="1" applyNumberFormat="1" applyFont="1" applyFill="1" applyBorder="1" applyAlignment="1">
      <alignment horizontal="center" vertical="center" wrapText="1"/>
    </xf>
    <xf numFmtId="3" fontId="14" fillId="2" borderId="10" xfId="2" applyNumberFormat="1" applyFont="1" applyFill="1" applyBorder="1" applyAlignment="1">
      <alignment horizontal="center" vertical="center" wrapText="1"/>
    </xf>
    <xf numFmtId="3" fontId="14" fillId="2" borderId="11" xfId="2" applyNumberFormat="1" applyFont="1" applyFill="1" applyBorder="1" applyAlignment="1">
      <alignment horizontal="center" vertical="center" wrapText="1"/>
    </xf>
    <xf numFmtId="3" fontId="14" fillId="2" borderId="4" xfId="2" applyNumberFormat="1" applyFont="1" applyFill="1" applyBorder="1" applyAlignment="1">
      <alignment horizontal="center" vertical="center" wrapText="1"/>
    </xf>
    <xf numFmtId="3" fontId="14" fillId="2" borderId="1" xfId="2" applyNumberFormat="1" applyFont="1" applyFill="1" applyBorder="1" applyAlignment="1">
      <alignment horizontal="center" vertical="center" wrapText="1"/>
    </xf>
    <xf numFmtId="1" fontId="10" fillId="2" borderId="0" xfId="2" applyNumberFormat="1" applyFont="1" applyFill="1" applyAlignment="1">
      <alignment horizontal="center" vertical="center" wrapText="1"/>
    </xf>
    <xf numFmtId="1" fontId="12" fillId="2" borderId="0" xfId="2" applyNumberFormat="1" applyFont="1" applyFill="1" applyAlignment="1">
      <alignment horizontal="center" vertical="center" wrapText="1"/>
    </xf>
  </cellXfs>
  <cellStyles count="42">
    <cellStyle name="_x000d__x000a_JournalTemplate=C:\COMFO\CTALK\JOURSTD.TPL_x000d__x000a_LbStateAddress=3 3 0 251 1 89 2 311_x000d__x000a_LbStateJou" xfId="15"/>
    <cellStyle name="_x000d__x000a_JournalTemplate=C:\COMFO\CTALK\JOURSTD.TPL_x000d__x000a_LbStateAddress=3 3 0 251 1 89 2 311_x000d__x000a_LbStateJou 2" xfId="8"/>
    <cellStyle name="_x000d__x000a_JournalTemplate=C:\COMFO\CTALK\JOURSTD.TPL_x000d__x000a_LbStateAddress=3 3 0 251 1 89 2 311_x000d__x000a_LbStateJou 3" xfId="21"/>
    <cellStyle name="_x000d__x000a_JournalTemplate=C:\COMFO\CTALK\JOURSTD.TPL_x000d__x000a_LbStateAddress=3 3 0 251 1 89 2 311_x000d__x000a_LbStateJou_2_Mau Bieu De an 30a Nam Po (16-6-2014)" xfId="28"/>
    <cellStyle name="Comma" xfId="1" builtinId="3"/>
    <cellStyle name="Comma 10 10" xfId="3"/>
    <cellStyle name="Comma 10 10 2" xfId="32"/>
    <cellStyle name="Comma 11" xfId="7"/>
    <cellStyle name="Comma 3" xfId="34"/>
    <cellStyle name="Comma 37" xfId="6"/>
    <cellStyle name="Comma 37 2" xfId="33"/>
    <cellStyle name="Comma 37 2 2" xfId="41"/>
    <cellStyle name="Comma 37 3" xfId="36"/>
    <cellStyle name="Comma 37 3 2" xfId="40"/>
    <cellStyle name="Comma 39" xfId="29"/>
    <cellStyle name="Comma 5 5" xfId="30"/>
    <cellStyle name="Comma 65" xfId="18"/>
    <cellStyle name="Normal" xfId="0" builtinId="0"/>
    <cellStyle name="Normal 10" xfId="10"/>
    <cellStyle name="Normal 10 7" xfId="38"/>
    <cellStyle name="Normal 19" xfId="37"/>
    <cellStyle name="Normal 2 10" xfId="35"/>
    <cellStyle name="Normal 2 2" xfId="11"/>
    <cellStyle name="Normal 2_30_210_2_trinhhdndpchuanqt" xfId="24"/>
    <cellStyle name="Normal 22" xfId="4"/>
    <cellStyle name="Normal 3" xfId="20"/>
    <cellStyle name="Normal 34" xfId="27"/>
    <cellStyle name="Normal 56" xfId="39"/>
    <cellStyle name="Normal_09 05 13 TH nguon KF thuc hien NQ 30a 2" xfId="23"/>
    <cellStyle name="Normal_7_in_sua_dau tu cong_nguon NSNN_216_t01_1TTr_UBND huyen_phan bo 30a" xfId="22"/>
    <cellStyle name="Normal_Bieu mau (CV )" xfId="2"/>
    <cellStyle name="Normal_Bieu mau (CV ) 2 2" xfId="5"/>
    <cellStyle name="Normal_Bieu mau (CV ) 2_Bieu_mau" xfId="26"/>
    <cellStyle name="Normal_Biêu yêu cầu Sở KH đâu tư  ( tham khảo)" xfId="14"/>
    <cellStyle name="Normal_CDT-01 STC" xfId="16"/>
    <cellStyle name="Normal_dt_qtoan2008_ctmt11" xfId="25"/>
    <cellStyle name="Normal_KH PT KTXH năm 2018 Chuẩn" xfId="31"/>
    <cellStyle name="Normal_Phan bo chi tiet 30a nam 2010" xfId="19"/>
    <cellStyle name="Normal_Sheet1 (2) 2 2" xfId="17"/>
    <cellStyle name="Normal_Sheet2" xfId="13"/>
    <cellStyle name="Style 1 2 2" xfId="9"/>
    <cellStyle name="Style 1 3" xfId="1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BC635"/>
  <sheetViews>
    <sheetView view="pageBreakPreview" topLeftCell="A85" zoomScale="82" zoomScaleNormal="55" zoomScaleSheetLayoutView="82" workbookViewId="0">
      <selection activeCell="AZ14" sqref="AZ14"/>
    </sheetView>
  </sheetViews>
  <sheetFormatPr defaultRowHeight="15.75" x14ac:dyDescent="0.25"/>
  <cols>
    <col min="1" max="1" width="7" style="312" customWidth="1"/>
    <col min="2" max="2" width="33.85546875" style="124" customWidth="1"/>
    <col min="3" max="3" width="9.42578125" style="313" hidden="1" customWidth="1"/>
    <col min="4" max="4" width="9.85546875" style="313" hidden="1" customWidth="1"/>
    <col min="5" max="5" width="7.42578125" style="313" hidden="1" customWidth="1"/>
    <col min="6" max="6" width="12.140625" style="313" hidden="1" customWidth="1"/>
    <col min="7" max="7" width="15.5703125" style="314" hidden="1" customWidth="1"/>
    <col min="8" max="8" width="15" style="314" hidden="1" customWidth="1"/>
    <col min="9" max="9" width="11.85546875" style="314" hidden="1" customWidth="1"/>
    <col min="10" max="10" width="11.140625" style="314" hidden="1" customWidth="1"/>
    <col min="11" max="11" width="9.42578125" style="314" hidden="1" customWidth="1"/>
    <col min="12" max="12" width="13.140625" style="314" hidden="1" customWidth="1"/>
    <col min="13" max="15" width="13.42578125" style="314" hidden="1" customWidth="1"/>
    <col min="16" max="16" width="11.85546875" style="314" hidden="1" customWidth="1"/>
    <col min="17" max="17" width="11.5703125" style="314" hidden="1" customWidth="1"/>
    <col min="18" max="19" width="9" style="314" hidden="1" customWidth="1"/>
    <col min="20" max="20" width="10.42578125" style="314" hidden="1" customWidth="1"/>
    <col min="21" max="21" width="11.85546875" style="314" hidden="1" customWidth="1"/>
    <col min="22" max="22" width="9.42578125" style="314" hidden="1" customWidth="1"/>
    <col min="23" max="23" width="8" style="314" hidden="1" customWidth="1"/>
    <col min="24" max="24" width="14.42578125" style="314" hidden="1" customWidth="1"/>
    <col min="25" max="25" width="13.42578125" style="314" hidden="1" customWidth="1"/>
    <col min="26" max="26" width="13.85546875" style="314" hidden="1" customWidth="1"/>
    <col min="27" max="27" width="11" style="314" hidden="1" customWidth="1"/>
    <col min="28" max="28" width="9.42578125" style="314" hidden="1" customWidth="1"/>
    <col min="29" max="29" width="11" style="314" hidden="1" customWidth="1"/>
    <col min="30" max="31" width="10.85546875" style="314" hidden="1" customWidth="1"/>
    <col min="32" max="32" width="8.85546875" style="314" hidden="1" customWidth="1"/>
    <col min="33" max="33" width="7.42578125" style="314" hidden="1" customWidth="1"/>
    <col min="34" max="35" width="10.5703125" style="314" hidden="1" customWidth="1"/>
    <col min="36" max="36" width="12.42578125" style="314" hidden="1" customWidth="1"/>
    <col min="37" max="37" width="12" style="314" hidden="1" customWidth="1"/>
    <col min="38" max="38" width="15.42578125" style="314" hidden="1" customWidth="1"/>
    <col min="39" max="40" width="15.42578125" style="314" customWidth="1"/>
    <col min="41" max="41" width="14.140625" style="314" customWidth="1"/>
    <col min="42" max="42" width="13.42578125" style="314" customWidth="1"/>
    <col min="43" max="43" width="15.5703125" style="314" customWidth="1"/>
    <col min="44" max="44" width="13" style="314" customWidth="1"/>
    <col min="45" max="45" width="14.5703125" style="314" customWidth="1"/>
    <col min="46" max="46" width="16.7109375" style="314" customWidth="1"/>
    <col min="47" max="47" width="13.42578125" style="314" customWidth="1"/>
    <col min="48" max="48" width="12" style="314" customWidth="1"/>
    <col min="49" max="49" width="18.42578125" style="640" customWidth="1"/>
    <col min="50" max="50" width="13.42578125" style="314" customWidth="1"/>
    <col min="51" max="51" width="15.5703125" style="119" customWidth="1"/>
    <col min="52" max="53" width="12.85546875" style="119" customWidth="1"/>
    <col min="54" max="54" width="10" style="119" customWidth="1"/>
    <col min="55" max="55" width="11.140625" style="119" bestFit="1" customWidth="1"/>
    <col min="56" max="16384" width="9.140625" style="119"/>
  </cols>
  <sheetData>
    <row r="1" spans="1:54" ht="20.45" customHeight="1" x14ac:dyDescent="0.25">
      <c r="A1" s="848" t="s">
        <v>0</v>
      </c>
      <c r="B1" s="848"/>
      <c r="C1" s="848"/>
      <c r="D1" s="848"/>
      <c r="E1" s="848"/>
      <c r="F1" s="848"/>
      <c r="G1" s="848"/>
      <c r="H1" s="848"/>
      <c r="I1" s="848"/>
      <c r="J1" s="848"/>
      <c r="K1" s="848"/>
      <c r="L1" s="848"/>
      <c r="M1" s="848"/>
      <c r="N1" s="848"/>
      <c r="O1" s="848"/>
      <c r="P1" s="848"/>
      <c r="Q1" s="848"/>
      <c r="R1" s="848"/>
      <c r="S1" s="848"/>
      <c r="T1" s="848"/>
      <c r="U1" s="848"/>
      <c r="V1" s="848"/>
      <c r="W1" s="848"/>
      <c r="X1" s="848"/>
      <c r="Y1" s="848"/>
      <c r="Z1" s="848"/>
      <c r="AA1" s="848"/>
      <c r="AB1" s="848"/>
      <c r="AC1" s="848"/>
      <c r="AD1" s="848"/>
      <c r="AE1" s="848"/>
      <c r="AF1" s="848"/>
      <c r="AG1" s="848"/>
      <c r="AH1" s="848"/>
      <c r="AI1" s="848"/>
      <c r="AJ1" s="848"/>
      <c r="AK1" s="848"/>
      <c r="AL1" s="848"/>
      <c r="AM1" s="848"/>
      <c r="AN1" s="848"/>
      <c r="AO1" s="848"/>
      <c r="AP1" s="848"/>
      <c r="AQ1" s="848"/>
      <c r="AR1" s="848"/>
      <c r="AS1" s="848"/>
      <c r="AT1" s="848"/>
      <c r="AU1" s="848"/>
      <c r="AV1" s="848"/>
      <c r="AW1" s="848"/>
      <c r="AX1" s="813"/>
    </row>
    <row r="2" spans="1:54" ht="25.5" customHeight="1" x14ac:dyDescent="0.25">
      <c r="A2" s="849" t="s">
        <v>1666</v>
      </c>
      <c r="B2" s="849"/>
      <c r="C2" s="849"/>
      <c r="D2" s="849"/>
      <c r="E2" s="849"/>
      <c r="F2" s="849"/>
      <c r="G2" s="849"/>
      <c r="H2" s="849"/>
      <c r="I2" s="849"/>
      <c r="J2" s="849"/>
      <c r="K2" s="849"/>
      <c r="L2" s="849"/>
      <c r="M2" s="849"/>
      <c r="N2" s="849"/>
      <c r="O2" s="849"/>
      <c r="P2" s="849"/>
      <c r="Q2" s="849"/>
      <c r="R2" s="849"/>
      <c r="S2" s="849"/>
      <c r="T2" s="849"/>
      <c r="U2" s="849"/>
      <c r="V2" s="849"/>
      <c r="W2" s="849"/>
      <c r="X2" s="849"/>
      <c r="Y2" s="849"/>
      <c r="Z2" s="849"/>
      <c r="AA2" s="849"/>
      <c r="AB2" s="849"/>
      <c r="AC2" s="849"/>
      <c r="AD2" s="849"/>
      <c r="AE2" s="849"/>
      <c r="AF2" s="849"/>
      <c r="AG2" s="849"/>
      <c r="AH2" s="849"/>
      <c r="AI2" s="849"/>
      <c r="AJ2" s="849"/>
      <c r="AK2" s="849"/>
      <c r="AL2" s="849"/>
      <c r="AM2" s="849"/>
      <c r="AN2" s="849"/>
      <c r="AO2" s="849"/>
      <c r="AP2" s="849"/>
      <c r="AQ2" s="849"/>
      <c r="AR2" s="849"/>
      <c r="AS2" s="849"/>
      <c r="AT2" s="849"/>
      <c r="AU2" s="849"/>
      <c r="AV2" s="849"/>
      <c r="AW2" s="849"/>
      <c r="AX2" s="814"/>
    </row>
    <row r="3" spans="1:54" s="124" customFormat="1" ht="30" customHeight="1" x14ac:dyDescent="0.25">
      <c r="A3" s="850" t="s">
        <v>1667</v>
      </c>
      <c r="B3" s="850"/>
      <c r="C3" s="850"/>
      <c r="D3" s="850"/>
      <c r="E3" s="850"/>
      <c r="F3" s="850"/>
      <c r="G3" s="850"/>
      <c r="H3" s="850"/>
      <c r="I3" s="850"/>
      <c r="J3" s="850"/>
      <c r="K3" s="850"/>
      <c r="L3" s="850"/>
      <c r="M3" s="850"/>
      <c r="N3" s="850"/>
      <c r="O3" s="850"/>
      <c r="P3" s="850"/>
      <c r="Q3" s="850"/>
      <c r="R3" s="850"/>
      <c r="S3" s="850"/>
      <c r="T3" s="850"/>
      <c r="U3" s="850"/>
      <c r="V3" s="850"/>
      <c r="W3" s="850"/>
      <c r="X3" s="850"/>
      <c r="Y3" s="850"/>
      <c r="Z3" s="850"/>
      <c r="AA3" s="850"/>
      <c r="AB3" s="850"/>
      <c r="AC3" s="850"/>
      <c r="AD3" s="850"/>
      <c r="AE3" s="850"/>
      <c r="AF3" s="850"/>
      <c r="AG3" s="850"/>
      <c r="AH3" s="850"/>
      <c r="AI3" s="850"/>
      <c r="AJ3" s="850"/>
      <c r="AK3" s="850"/>
      <c r="AL3" s="850"/>
      <c r="AM3" s="850"/>
      <c r="AN3" s="850"/>
      <c r="AO3" s="850"/>
      <c r="AP3" s="850"/>
      <c r="AQ3" s="850"/>
      <c r="AR3" s="850"/>
      <c r="AS3" s="850"/>
      <c r="AT3" s="850"/>
      <c r="AU3" s="850"/>
      <c r="AV3" s="850"/>
      <c r="AW3" s="850"/>
      <c r="AX3" s="815"/>
    </row>
    <row r="4" spans="1:54" s="124" customFormat="1" ht="24.75" customHeight="1" x14ac:dyDescent="0.25">
      <c r="A4" s="851" t="s">
        <v>671</v>
      </c>
      <c r="B4" s="851"/>
      <c r="C4" s="851"/>
      <c r="D4" s="851"/>
      <c r="E4" s="851"/>
      <c r="F4" s="851"/>
      <c r="G4" s="851"/>
      <c r="H4" s="851"/>
      <c r="I4" s="851"/>
      <c r="J4" s="851"/>
      <c r="K4" s="851"/>
      <c r="L4" s="851"/>
      <c r="M4" s="851"/>
      <c r="N4" s="851"/>
      <c r="O4" s="851"/>
      <c r="P4" s="851"/>
      <c r="Q4" s="851"/>
      <c r="R4" s="851"/>
      <c r="S4" s="851"/>
      <c r="T4" s="851"/>
      <c r="U4" s="851"/>
      <c r="V4" s="851"/>
      <c r="W4" s="851"/>
      <c r="X4" s="851"/>
      <c r="Y4" s="851"/>
      <c r="Z4" s="851"/>
      <c r="AA4" s="851"/>
      <c r="AB4" s="851"/>
      <c r="AC4" s="851"/>
      <c r="AD4" s="851"/>
      <c r="AE4" s="851"/>
      <c r="AF4" s="851"/>
      <c r="AG4" s="851"/>
      <c r="AH4" s="851"/>
      <c r="AI4" s="851"/>
      <c r="AJ4" s="851"/>
      <c r="AK4" s="851"/>
      <c r="AL4" s="851"/>
      <c r="AM4" s="851"/>
      <c r="AN4" s="851"/>
      <c r="AO4" s="851"/>
      <c r="AP4" s="851"/>
      <c r="AQ4" s="851"/>
      <c r="AR4" s="851"/>
      <c r="AS4" s="851"/>
      <c r="AT4" s="851"/>
      <c r="AU4" s="851"/>
      <c r="AV4" s="851"/>
      <c r="AW4" s="851"/>
      <c r="AX4" s="816"/>
    </row>
    <row r="5" spans="1:54" s="124" customFormat="1" ht="21" customHeight="1" x14ac:dyDescent="0.25">
      <c r="A5" s="852" t="s">
        <v>1</v>
      </c>
      <c r="B5" s="852"/>
      <c r="C5" s="852"/>
      <c r="D5" s="852"/>
      <c r="E5" s="852"/>
      <c r="F5" s="852"/>
      <c r="G5" s="852"/>
      <c r="H5" s="852"/>
      <c r="I5" s="852"/>
      <c r="J5" s="852"/>
      <c r="K5" s="852"/>
      <c r="L5" s="852"/>
      <c r="M5" s="852"/>
      <c r="N5" s="852"/>
      <c r="O5" s="852"/>
      <c r="P5" s="852"/>
      <c r="Q5" s="852"/>
      <c r="R5" s="852"/>
      <c r="S5" s="852"/>
      <c r="T5" s="852"/>
      <c r="U5" s="852"/>
      <c r="V5" s="852"/>
      <c r="W5" s="852"/>
      <c r="X5" s="852"/>
      <c r="Y5" s="852"/>
      <c r="Z5" s="852"/>
      <c r="AA5" s="852"/>
      <c r="AB5" s="852"/>
      <c r="AC5" s="852"/>
      <c r="AD5" s="852"/>
      <c r="AE5" s="852"/>
      <c r="AF5" s="852"/>
      <c r="AG5" s="852"/>
      <c r="AH5" s="852"/>
      <c r="AI5" s="852"/>
      <c r="AJ5" s="852"/>
      <c r="AK5" s="852"/>
      <c r="AL5" s="852"/>
      <c r="AM5" s="852"/>
      <c r="AN5" s="852"/>
      <c r="AO5" s="852"/>
      <c r="AP5" s="852"/>
      <c r="AQ5" s="852"/>
      <c r="AR5" s="852"/>
      <c r="AS5" s="852"/>
      <c r="AT5" s="852"/>
      <c r="AU5" s="852"/>
      <c r="AV5" s="852"/>
      <c r="AW5" s="852"/>
      <c r="AX5" s="416"/>
    </row>
    <row r="6" spans="1:54" s="124" customFormat="1" ht="34.5" customHeight="1" x14ac:dyDescent="0.25">
      <c r="A6" s="824" t="s">
        <v>2</v>
      </c>
      <c r="B6" s="824" t="s">
        <v>3</v>
      </c>
      <c r="C6" s="824" t="s">
        <v>4</v>
      </c>
      <c r="D6" s="824" t="s">
        <v>5</v>
      </c>
      <c r="E6" s="824" t="s">
        <v>6</v>
      </c>
      <c r="F6" s="824" t="s">
        <v>7</v>
      </c>
      <c r="G6" s="824"/>
      <c r="H6" s="824"/>
      <c r="I6" s="824" t="s">
        <v>8</v>
      </c>
      <c r="J6" s="824"/>
      <c r="K6" s="824"/>
      <c r="L6" s="824" t="s">
        <v>683</v>
      </c>
      <c r="M6" s="824"/>
      <c r="N6" s="824" t="s">
        <v>10</v>
      </c>
      <c r="O6" s="824"/>
      <c r="P6" s="417"/>
      <c r="Q6" s="418"/>
      <c r="R6" s="418"/>
      <c r="S6" s="418"/>
      <c r="T6" s="418"/>
      <c r="U6" s="418"/>
      <c r="V6" s="418"/>
      <c r="W6" s="418"/>
      <c r="X6" s="846" t="s">
        <v>11</v>
      </c>
      <c r="Y6" s="846"/>
      <c r="Z6" s="846"/>
      <c r="AA6" s="846"/>
      <c r="AB6" s="418"/>
      <c r="AC6" s="418"/>
      <c r="AD6" s="418"/>
      <c r="AE6" s="418"/>
      <c r="AF6" s="418"/>
      <c r="AG6" s="418"/>
      <c r="AH6" s="418"/>
      <c r="AI6" s="418"/>
      <c r="AJ6" s="419"/>
      <c r="AK6" s="838" t="s">
        <v>12</v>
      </c>
      <c r="AL6" s="838"/>
      <c r="AM6" s="824" t="s">
        <v>2097</v>
      </c>
      <c r="AN6" s="824"/>
      <c r="AO6" s="824"/>
      <c r="AP6" s="824"/>
      <c r="AQ6" s="838" t="s">
        <v>12</v>
      </c>
      <c r="AR6" s="838"/>
      <c r="AS6" s="824" t="s">
        <v>13</v>
      </c>
      <c r="AT6" s="824"/>
      <c r="AU6" s="824"/>
      <c r="AV6" s="824"/>
      <c r="AW6" s="839" t="s">
        <v>14</v>
      </c>
      <c r="AX6" s="420"/>
      <c r="AZ6" s="10" t="s">
        <v>15</v>
      </c>
      <c r="BA6" s="10" t="s">
        <v>16</v>
      </c>
      <c r="BB6" s="10" t="s">
        <v>17</v>
      </c>
    </row>
    <row r="7" spans="1:54" s="420" customFormat="1" ht="23.25" customHeight="1" x14ac:dyDescent="0.25">
      <c r="A7" s="824"/>
      <c r="B7" s="824"/>
      <c r="C7" s="824"/>
      <c r="D7" s="824"/>
      <c r="E7" s="824"/>
      <c r="F7" s="824"/>
      <c r="G7" s="824"/>
      <c r="H7" s="824"/>
      <c r="I7" s="824"/>
      <c r="J7" s="824"/>
      <c r="K7" s="824"/>
      <c r="L7" s="824"/>
      <c r="M7" s="824"/>
      <c r="N7" s="824"/>
      <c r="O7" s="824"/>
      <c r="P7" s="824" t="s">
        <v>18</v>
      </c>
      <c r="Q7" s="824"/>
      <c r="R7" s="824"/>
      <c r="S7" s="824"/>
      <c r="T7" s="824" t="s">
        <v>19</v>
      </c>
      <c r="U7" s="824"/>
      <c r="V7" s="824"/>
      <c r="W7" s="824"/>
      <c r="X7" s="847"/>
      <c r="Y7" s="847"/>
      <c r="Z7" s="847"/>
      <c r="AA7" s="847"/>
      <c r="AB7" s="842" t="s">
        <v>20</v>
      </c>
      <c r="AC7" s="843"/>
      <c r="AD7" s="824" t="s">
        <v>21</v>
      </c>
      <c r="AE7" s="824"/>
      <c r="AF7" s="824"/>
      <c r="AG7" s="824"/>
      <c r="AH7" s="824" t="s">
        <v>22</v>
      </c>
      <c r="AI7" s="824"/>
      <c r="AJ7" s="824"/>
      <c r="AK7" s="838"/>
      <c r="AL7" s="838"/>
      <c r="AM7" s="824"/>
      <c r="AN7" s="824"/>
      <c r="AO7" s="824"/>
      <c r="AP7" s="824"/>
      <c r="AQ7" s="838"/>
      <c r="AR7" s="838"/>
      <c r="AS7" s="824"/>
      <c r="AT7" s="824"/>
      <c r="AU7" s="824"/>
      <c r="AV7" s="824"/>
      <c r="AW7" s="840"/>
      <c r="AX7" s="421" t="s">
        <v>675</v>
      </c>
      <c r="AZ7" s="422" t="e">
        <f>SUM(#REF!)</f>
        <v>#REF!</v>
      </c>
      <c r="BA7" s="422" t="e">
        <f>SUM(#REF!)</f>
        <v>#REF!</v>
      </c>
      <c r="BB7" s="422" t="e">
        <f>SUM(#REF!)</f>
        <v>#REF!</v>
      </c>
    </row>
    <row r="8" spans="1:54" s="420" customFormat="1" ht="21.75" customHeight="1" x14ac:dyDescent="0.25">
      <c r="A8" s="824"/>
      <c r="B8" s="824"/>
      <c r="C8" s="824"/>
      <c r="D8" s="824"/>
      <c r="E8" s="824"/>
      <c r="F8" s="824" t="s">
        <v>23</v>
      </c>
      <c r="G8" s="824" t="s">
        <v>24</v>
      </c>
      <c r="H8" s="824"/>
      <c r="I8" s="824" t="s">
        <v>23</v>
      </c>
      <c r="J8" s="824" t="s">
        <v>24</v>
      </c>
      <c r="K8" s="824"/>
      <c r="L8" s="824" t="s">
        <v>25</v>
      </c>
      <c r="M8" s="835" t="s">
        <v>26</v>
      </c>
      <c r="N8" s="824" t="s">
        <v>25</v>
      </c>
      <c r="O8" s="835" t="s">
        <v>26</v>
      </c>
      <c r="P8" s="824" t="s">
        <v>25</v>
      </c>
      <c r="Q8" s="824" t="s">
        <v>26</v>
      </c>
      <c r="R8" s="824"/>
      <c r="S8" s="824"/>
      <c r="T8" s="824" t="s">
        <v>25</v>
      </c>
      <c r="U8" s="824" t="s">
        <v>26</v>
      </c>
      <c r="V8" s="824"/>
      <c r="W8" s="824"/>
      <c r="X8" s="824" t="s">
        <v>25</v>
      </c>
      <c r="Y8" s="824" t="s">
        <v>26</v>
      </c>
      <c r="Z8" s="824"/>
      <c r="AA8" s="824"/>
      <c r="AB8" s="844"/>
      <c r="AC8" s="845"/>
      <c r="AD8" s="824" t="s">
        <v>25</v>
      </c>
      <c r="AE8" s="824" t="s">
        <v>26</v>
      </c>
      <c r="AF8" s="824"/>
      <c r="AG8" s="824"/>
      <c r="AH8" s="824" t="s">
        <v>25</v>
      </c>
      <c r="AI8" s="833" t="s">
        <v>26</v>
      </c>
      <c r="AJ8" s="834"/>
      <c r="AK8" s="828" t="s">
        <v>27</v>
      </c>
      <c r="AL8" s="828" t="s">
        <v>28</v>
      </c>
      <c r="AM8" s="824" t="s">
        <v>25</v>
      </c>
      <c r="AN8" s="824" t="s">
        <v>26</v>
      </c>
      <c r="AO8" s="824"/>
      <c r="AP8" s="824"/>
      <c r="AQ8" s="828" t="s">
        <v>27</v>
      </c>
      <c r="AR8" s="828" t="s">
        <v>28</v>
      </c>
      <c r="AS8" s="824" t="s">
        <v>25</v>
      </c>
      <c r="AT8" s="824" t="s">
        <v>26</v>
      </c>
      <c r="AU8" s="824"/>
      <c r="AV8" s="824"/>
      <c r="AW8" s="840"/>
    </row>
    <row r="9" spans="1:54" s="420" customFormat="1" ht="21" customHeight="1" x14ac:dyDescent="0.25">
      <c r="A9" s="824"/>
      <c r="B9" s="824"/>
      <c r="C9" s="824"/>
      <c r="D9" s="824"/>
      <c r="E9" s="824"/>
      <c r="F9" s="824"/>
      <c r="G9" s="824" t="s">
        <v>25</v>
      </c>
      <c r="H9" s="824" t="s">
        <v>29</v>
      </c>
      <c r="I9" s="824"/>
      <c r="J9" s="824" t="s">
        <v>25</v>
      </c>
      <c r="K9" s="824" t="s">
        <v>29</v>
      </c>
      <c r="L9" s="824"/>
      <c r="M9" s="836"/>
      <c r="N9" s="824"/>
      <c r="O9" s="836"/>
      <c r="P9" s="824"/>
      <c r="Q9" s="824" t="s">
        <v>30</v>
      </c>
      <c r="R9" s="823" t="s">
        <v>31</v>
      </c>
      <c r="S9" s="823"/>
      <c r="T9" s="824"/>
      <c r="U9" s="824" t="s">
        <v>30</v>
      </c>
      <c r="V9" s="823" t="s">
        <v>31</v>
      </c>
      <c r="W9" s="823"/>
      <c r="X9" s="824"/>
      <c r="Y9" s="824" t="s">
        <v>30</v>
      </c>
      <c r="Z9" s="823" t="s">
        <v>31</v>
      </c>
      <c r="AA9" s="823"/>
      <c r="AB9" s="831" t="s">
        <v>32</v>
      </c>
      <c r="AC9" s="831" t="s">
        <v>33</v>
      </c>
      <c r="AD9" s="824"/>
      <c r="AE9" s="824" t="s">
        <v>30</v>
      </c>
      <c r="AF9" s="823" t="s">
        <v>31</v>
      </c>
      <c r="AG9" s="823"/>
      <c r="AH9" s="824"/>
      <c r="AI9" s="824" t="s">
        <v>30</v>
      </c>
      <c r="AJ9" s="825" t="s">
        <v>34</v>
      </c>
      <c r="AK9" s="829"/>
      <c r="AL9" s="829"/>
      <c r="AM9" s="824"/>
      <c r="AN9" s="824" t="s">
        <v>30</v>
      </c>
      <c r="AO9" s="823" t="s">
        <v>31</v>
      </c>
      <c r="AP9" s="823"/>
      <c r="AQ9" s="829"/>
      <c r="AR9" s="829"/>
      <c r="AS9" s="824"/>
      <c r="AT9" s="824" t="s">
        <v>30</v>
      </c>
      <c r="AU9" s="823" t="s">
        <v>31</v>
      </c>
      <c r="AV9" s="823"/>
      <c r="AW9" s="840"/>
    </row>
    <row r="10" spans="1:54" s="420" customFormat="1" ht="54" customHeight="1" x14ac:dyDescent="0.25">
      <c r="A10" s="824"/>
      <c r="B10" s="824"/>
      <c r="C10" s="824"/>
      <c r="D10" s="824"/>
      <c r="E10" s="824"/>
      <c r="F10" s="824"/>
      <c r="G10" s="824"/>
      <c r="H10" s="824"/>
      <c r="I10" s="824"/>
      <c r="J10" s="824"/>
      <c r="K10" s="824"/>
      <c r="L10" s="824"/>
      <c r="M10" s="836"/>
      <c r="N10" s="824"/>
      <c r="O10" s="836"/>
      <c r="P10" s="824"/>
      <c r="Q10" s="824"/>
      <c r="R10" s="823" t="s">
        <v>35</v>
      </c>
      <c r="S10" s="823" t="s">
        <v>36</v>
      </c>
      <c r="T10" s="824"/>
      <c r="U10" s="824"/>
      <c r="V10" s="823" t="s">
        <v>35</v>
      </c>
      <c r="W10" s="823" t="s">
        <v>36</v>
      </c>
      <c r="X10" s="824"/>
      <c r="Y10" s="824"/>
      <c r="Z10" s="823" t="s">
        <v>35</v>
      </c>
      <c r="AA10" s="823" t="s">
        <v>36</v>
      </c>
      <c r="AB10" s="832"/>
      <c r="AC10" s="832"/>
      <c r="AD10" s="824"/>
      <c r="AE10" s="824"/>
      <c r="AF10" s="823" t="s">
        <v>35</v>
      </c>
      <c r="AG10" s="823" t="s">
        <v>36</v>
      </c>
      <c r="AH10" s="824"/>
      <c r="AI10" s="824"/>
      <c r="AJ10" s="826"/>
      <c r="AK10" s="829"/>
      <c r="AL10" s="829"/>
      <c r="AM10" s="824"/>
      <c r="AN10" s="824"/>
      <c r="AO10" s="823" t="s">
        <v>35</v>
      </c>
      <c r="AP10" s="823" t="s">
        <v>36</v>
      </c>
      <c r="AQ10" s="829"/>
      <c r="AR10" s="829"/>
      <c r="AS10" s="824"/>
      <c r="AT10" s="824"/>
      <c r="AU10" s="823" t="s">
        <v>35</v>
      </c>
      <c r="AV10" s="823" t="s">
        <v>36</v>
      </c>
      <c r="AW10" s="840"/>
    </row>
    <row r="11" spans="1:54" s="420" customFormat="1" ht="3.75" customHeight="1" x14ac:dyDescent="0.25">
      <c r="A11" s="824"/>
      <c r="B11" s="824"/>
      <c r="C11" s="824"/>
      <c r="D11" s="824"/>
      <c r="E11" s="824"/>
      <c r="F11" s="824"/>
      <c r="G11" s="824"/>
      <c r="H11" s="824"/>
      <c r="I11" s="824"/>
      <c r="J11" s="824"/>
      <c r="K11" s="824"/>
      <c r="L11" s="824"/>
      <c r="M11" s="836"/>
      <c r="N11" s="824"/>
      <c r="O11" s="836"/>
      <c r="P11" s="824"/>
      <c r="Q11" s="824"/>
      <c r="R11" s="823"/>
      <c r="S11" s="823"/>
      <c r="T11" s="824"/>
      <c r="U11" s="824"/>
      <c r="V11" s="823"/>
      <c r="W11" s="823"/>
      <c r="X11" s="824"/>
      <c r="Y11" s="824"/>
      <c r="Z11" s="823"/>
      <c r="AA11" s="823"/>
      <c r="AB11" s="832"/>
      <c r="AC11" s="832"/>
      <c r="AD11" s="824"/>
      <c r="AE11" s="824"/>
      <c r="AF11" s="823"/>
      <c r="AG11" s="823"/>
      <c r="AH11" s="824"/>
      <c r="AI11" s="824"/>
      <c r="AJ11" s="826"/>
      <c r="AK11" s="829"/>
      <c r="AL11" s="829"/>
      <c r="AM11" s="824"/>
      <c r="AN11" s="824"/>
      <c r="AO11" s="823"/>
      <c r="AP11" s="823"/>
      <c r="AQ11" s="829"/>
      <c r="AR11" s="829"/>
      <c r="AS11" s="824"/>
      <c r="AT11" s="824"/>
      <c r="AU11" s="823"/>
      <c r="AV11" s="823"/>
      <c r="AW11" s="840"/>
    </row>
    <row r="12" spans="1:54" s="420" customFormat="1" ht="30.75" hidden="1" customHeight="1" x14ac:dyDescent="0.25">
      <c r="A12" s="824"/>
      <c r="B12" s="824"/>
      <c r="C12" s="824"/>
      <c r="D12" s="824"/>
      <c r="E12" s="824"/>
      <c r="F12" s="824"/>
      <c r="G12" s="824"/>
      <c r="H12" s="824"/>
      <c r="I12" s="824"/>
      <c r="J12" s="824"/>
      <c r="K12" s="824"/>
      <c r="L12" s="824"/>
      <c r="M12" s="837"/>
      <c r="N12" s="824"/>
      <c r="O12" s="837"/>
      <c r="P12" s="824"/>
      <c r="Q12" s="824"/>
      <c r="R12" s="823"/>
      <c r="S12" s="823"/>
      <c r="T12" s="824"/>
      <c r="U12" s="824"/>
      <c r="V12" s="823"/>
      <c r="W12" s="823"/>
      <c r="X12" s="824"/>
      <c r="Y12" s="824"/>
      <c r="Z12" s="823"/>
      <c r="AA12" s="823"/>
      <c r="AB12" s="832"/>
      <c r="AC12" s="832"/>
      <c r="AD12" s="824"/>
      <c r="AE12" s="824"/>
      <c r="AF12" s="823"/>
      <c r="AG12" s="823"/>
      <c r="AH12" s="824"/>
      <c r="AI12" s="824"/>
      <c r="AJ12" s="827"/>
      <c r="AK12" s="830"/>
      <c r="AL12" s="830"/>
      <c r="AM12" s="824"/>
      <c r="AN12" s="824"/>
      <c r="AO12" s="823"/>
      <c r="AP12" s="823"/>
      <c r="AQ12" s="830"/>
      <c r="AR12" s="830"/>
      <c r="AS12" s="824"/>
      <c r="AT12" s="824"/>
      <c r="AU12" s="823"/>
      <c r="AV12" s="823"/>
      <c r="AW12" s="841"/>
    </row>
    <row r="13" spans="1:54" s="424" customFormat="1" ht="18" customHeight="1" x14ac:dyDescent="0.25">
      <c r="A13" s="137">
        <v>1</v>
      </c>
      <c r="B13" s="137">
        <v>2</v>
      </c>
      <c r="C13" s="137">
        <v>3</v>
      </c>
      <c r="D13" s="137">
        <v>4</v>
      </c>
      <c r="E13" s="137">
        <v>5</v>
      </c>
      <c r="F13" s="137">
        <v>6</v>
      </c>
      <c r="G13" s="137">
        <v>7</v>
      </c>
      <c r="H13" s="137">
        <v>8</v>
      </c>
      <c r="I13" s="137">
        <v>9</v>
      </c>
      <c r="J13" s="137">
        <v>10</v>
      </c>
      <c r="K13" s="137">
        <v>11</v>
      </c>
      <c r="L13" s="137">
        <v>9</v>
      </c>
      <c r="M13" s="137">
        <v>10</v>
      </c>
      <c r="N13" s="137">
        <v>11</v>
      </c>
      <c r="O13" s="137">
        <v>12</v>
      </c>
      <c r="P13" s="137">
        <v>13</v>
      </c>
      <c r="Q13" s="137">
        <v>14</v>
      </c>
      <c r="R13" s="137">
        <v>15</v>
      </c>
      <c r="S13" s="137">
        <v>16</v>
      </c>
      <c r="T13" s="137">
        <v>20</v>
      </c>
      <c r="U13" s="137">
        <v>21</v>
      </c>
      <c r="V13" s="137">
        <v>22</v>
      </c>
      <c r="W13" s="137">
        <v>23</v>
      </c>
      <c r="X13" s="137">
        <v>13</v>
      </c>
      <c r="Y13" s="137">
        <v>14</v>
      </c>
      <c r="Z13" s="137">
        <v>15</v>
      </c>
      <c r="AA13" s="137">
        <v>16</v>
      </c>
      <c r="AB13" s="137">
        <v>28</v>
      </c>
      <c r="AC13" s="137">
        <v>29</v>
      </c>
      <c r="AD13" s="137">
        <v>17</v>
      </c>
      <c r="AE13" s="137">
        <v>18</v>
      </c>
      <c r="AF13" s="137">
        <v>19</v>
      </c>
      <c r="AG13" s="137">
        <v>20</v>
      </c>
      <c r="AH13" s="137">
        <v>21</v>
      </c>
      <c r="AI13" s="137">
        <v>22</v>
      </c>
      <c r="AJ13" s="137">
        <v>23</v>
      </c>
      <c r="AK13" s="137">
        <v>17</v>
      </c>
      <c r="AL13" s="137">
        <v>18</v>
      </c>
      <c r="AM13" s="137">
        <v>19</v>
      </c>
      <c r="AN13" s="137">
        <v>20</v>
      </c>
      <c r="AO13" s="137">
        <v>21</v>
      </c>
      <c r="AP13" s="137">
        <v>22</v>
      </c>
      <c r="AQ13" s="137"/>
      <c r="AR13" s="137"/>
      <c r="AS13" s="137"/>
      <c r="AT13" s="137"/>
      <c r="AU13" s="137"/>
      <c r="AV13" s="137"/>
      <c r="AW13" s="353">
        <v>23</v>
      </c>
      <c r="AX13" s="423"/>
    </row>
    <row r="14" spans="1:54" s="425" customFormat="1" ht="33.6" customHeight="1" x14ac:dyDescent="0.25">
      <c r="A14" s="135"/>
      <c r="B14" s="136" t="s">
        <v>37</v>
      </c>
      <c r="C14" s="137"/>
      <c r="D14" s="137"/>
      <c r="E14" s="137"/>
      <c r="F14" s="137"/>
      <c r="G14" s="116" t="e">
        <f>G15+#REF!</f>
        <v>#REF!</v>
      </c>
      <c r="H14" s="116" t="e">
        <f>H15+#REF!</f>
        <v>#REF!</v>
      </c>
      <c r="I14" s="116" t="e">
        <f>I15+#REF!</f>
        <v>#REF!</v>
      </c>
      <c r="J14" s="116" t="e">
        <f>J15+#REF!</f>
        <v>#REF!</v>
      </c>
      <c r="K14" s="116" t="e">
        <f>K15+#REF!</f>
        <v>#REF!</v>
      </c>
      <c r="L14" s="116" t="e">
        <f>L15+#REF!</f>
        <v>#REF!</v>
      </c>
      <c r="M14" s="116" t="e">
        <f>M15+#REF!</f>
        <v>#REF!</v>
      </c>
      <c r="N14" s="116" t="e">
        <f>N15+#REF!</f>
        <v>#REF!</v>
      </c>
      <c r="O14" s="116" t="e">
        <f>O15+#REF!</f>
        <v>#REF!</v>
      </c>
      <c r="P14" s="116" t="e">
        <f>P15+#REF!</f>
        <v>#REF!</v>
      </c>
      <c r="Q14" s="116" t="e">
        <f>Q15+#REF!</f>
        <v>#REF!</v>
      </c>
      <c r="R14" s="116" t="e">
        <f>R15+#REF!</f>
        <v>#REF!</v>
      </c>
      <c r="S14" s="116" t="e">
        <f>S15+#REF!</f>
        <v>#REF!</v>
      </c>
      <c r="T14" s="116" t="e">
        <f>T15+#REF!</f>
        <v>#REF!</v>
      </c>
      <c r="U14" s="116" t="e">
        <f>U15+#REF!</f>
        <v>#REF!</v>
      </c>
      <c r="V14" s="116" t="e">
        <f>V15+#REF!</f>
        <v>#REF!</v>
      </c>
      <c r="W14" s="116" t="e">
        <f>W15+#REF!</f>
        <v>#REF!</v>
      </c>
      <c r="X14" s="116" t="e">
        <f>X15+#REF!</f>
        <v>#REF!</v>
      </c>
      <c r="Y14" s="116" t="e">
        <f>Y15+#REF!</f>
        <v>#REF!</v>
      </c>
      <c r="Z14" s="116" t="e">
        <f>Z15+#REF!</f>
        <v>#REF!</v>
      </c>
      <c r="AA14" s="116" t="e">
        <f>AA15+#REF!</f>
        <v>#REF!</v>
      </c>
      <c r="AB14" s="116" t="e">
        <f>AB15+#REF!</f>
        <v>#REF!</v>
      </c>
      <c r="AC14" s="116" t="e">
        <f>AC15+#REF!</f>
        <v>#REF!</v>
      </c>
      <c r="AD14" s="116" t="e">
        <f>AD15+#REF!</f>
        <v>#REF!</v>
      </c>
      <c r="AE14" s="116" t="e">
        <f>AE15+#REF!</f>
        <v>#REF!</v>
      </c>
      <c r="AF14" s="116" t="e">
        <f>AF15+#REF!</f>
        <v>#REF!</v>
      </c>
      <c r="AG14" s="116" t="e">
        <f>AG15+#REF!</f>
        <v>#REF!</v>
      </c>
      <c r="AH14" s="116" t="e">
        <f>AH15+#REF!</f>
        <v>#REF!</v>
      </c>
      <c r="AI14" s="116" t="e">
        <f>AI15+#REF!</f>
        <v>#REF!</v>
      </c>
      <c r="AJ14" s="116" t="e">
        <f>AJ15+#REF!</f>
        <v>#REF!</v>
      </c>
      <c r="AK14" s="116" t="e">
        <f>AK15+#REF!</f>
        <v>#REF!</v>
      </c>
      <c r="AL14" s="116" t="e">
        <f>AL15+#REF!</f>
        <v>#REF!</v>
      </c>
      <c r="AM14" s="116">
        <f>+AM15</f>
        <v>1086465.0350000001</v>
      </c>
      <c r="AN14" s="116">
        <f t="shared" ref="AN14:AV14" si="0">+AN15</f>
        <v>926190.03500000003</v>
      </c>
      <c r="AO14" s="116">
        <f t="shared" si="0"/>
        <v>0</v>
      </c>
      <c r="AP14" s="116">
        <f t="shared" si="0"/>
        <v>62571</v>
      </c>
      <c r="AQ14" s="116">
        <f t="shared" si="0"/>
        <v>138478</v>
      </c>
      <c r="AR14" s="116">
        <f t="shared" si="0"/>
        <v>35569</v>
      </c>
      <c r="AS14" s="116">
        <f t="shared" si="0"/>
        <v>1221643.0350000001</v>
      </c>
      <c r="AT14" s="116">
        <f t="shared" si="0"/>
        <v>1029100.035</v>
      </c>
      <c r="AU14" s="116">
        <f t="shared" si="0"/>
        <v>0</v>
      </c>
      <c r="AV14" s="116">
        <f t="shared" si="0"/>
        <v>62571</v>
      </c>
      <c r="AW14" s="138">
        <f>+AT14+'2b. Dc 30a+275 (16-20)'!AT14+'2c. Dc ct 135 (16-20) (2)'!AT14</f>
        <v>2701704.0130000003</v>
      </c>
      <c r="AX14" s="423">
        <f>AN14+AQ14-AR14</f>
        <v>1029099.0350000001</v>
      </c>
      <c r="AY14" s="425">
        <f>AT14-AX14</f>
        <v>0.99999999988358468</v>
      </c>
      <c r="AZ14" s="425">
        <f>AT14-AN14</f>
        <v>102910</v>
      </c>
    </row>
    <row r="15" spans="1:54" s="434" customFormat="1" ht="45.75" customHeight="1" x14ac:dyDescent="0.25">
      <c r="A15" s="426" t="s">
        <v>684</v>
      </c>
      <c r="B15" s="427" t="s">
        <v>685</v>
      </c>
      <c r="C15" s="428"/>
      <c r="D15" s="428"/>
      <c r="E15" s="428"/>
      <c r="F15" s="428"/>
      <c r="G15" s="429">
        <f>+G16+G29</f>
        <v>711168.45448699989</v>
      </c>
      <c r="H15" s="429">
        <f t="shared" ref="H15:AJ15" si="1">+H16+H29</f>
        <v>531523.99119600002</v>
      </c>
      <c r="I15" s="429">
        <f t="shared" si="1"/>
        <v>0</v>
      </c>
      <c r="J15" s="429">
        <f t="shared" si="1"/>
        <v>0</v>
      </c>
      <c r="K15" s="429">
        <f t="shared" si="1"/>
        <v>0</v>
      </c>
      <c r="L15" s="429">
        <f t="shared" si="1"/>
        <v>109491.68664</v>
      </c>
      <c r="M15" s="429">
        <f t="shared" si="1"/>
        <v>68519.229703999998</v>
      </c>
      <c r="N15" s="429">
        <f t="shared" si="1"/>
        <v>57857.276639999996</v>
      </c>
      <c r="O15" s="429">
        <f t="shared" si="1"/>
        <v>40598.948704000002</v>
      </c>
      <c r="P15" s="429" t="e">
        <f t="shared" si="1"/>
        <v>#REF!</v>
      </c>
      <c r="Q15" s="429" t="e">
        <f t="shared" si="1"/>
        <v>#REF!</v>
      </c>
      <c r="R15" s="429" t="e">
        <f t="shared" si="1"/>
        <v>#REF!</v>
      </c>
      <c r="S15" s="429" t="e">
        <f t="shared" si="1"/>
        <v>#REF!</v>
      </c>
      <c r="T15" s="429" t="e">
        <f t="shared" si="1"/>
        <v>#REF!</v>
      </c>
      <c r="U15" s="429" t="e">
        <f t="shared" si="1"/>
        <v>#REF!</v>
      </c>
      <c r="V15" s="429" t="e">
        <f t="shared" si="1"/>
        <v>#REF!</v>
      </c>
      <c r="W15" s="429" t="e">
        <f t="shared" si="1"/>
        <v>#REF!</v>
      </c>
      <c r="X15" s="429" t="e">
        <f t="shared" si="1"/>
        <v>#REF!</v>
      </c>
      <c r="Y15" s="429" t="e">
        <f t="shared" si="1"/>
        <v>#REF!</v>
      </c>
      <c r="Z15" s="429" t="e">
        <f t="shared" si="1"/>
        <v>#REF!</v>
      </c>
      <c r="AA15" s="429" t="e">
        <f t="shared" si="1"/>
        <v>#REF!</v>
      </c>
      <c r="AB15" s="429" t="e">
        <f t="shared" si="1"/>
        <v>#REF!</v>
      </c>
      <c r="AC15" s="429" t="e">
        <f t="shared" si="1"/>
        <v>#REF!</v>
      </c>
      <c r="AD15" s="429" t="e">
        <f t="shared" si="1"/>
        <v>#REF!</v>
      </c>
      <c r="AE15" s="429" t="e">
        <f t="shared" si="1"/>
        <v>#REF!</v>
      </c>
      <c r="AF15" s="429" t="e">
        <f t="shared" si="1"/>
        <v>#REF!</v>
      </c>
      <c r="AG15" s="429" t="e">
        <f t="shared" si="1"/>
        <v>#REF!</v>
      </c>
      <c r="AH15" s="429" t="e">
        <f t="shared" si="1"/>
        <v>#REF!</v>
      </c>
      <c r="AI15" s="429" t="e">
        <f t="shared" si="1"/>
        <v>#REF!</v>
      </c>
      <c r="AJ15" s="429" t="e">
        <f t="shared" si="1"/>
        <v>#REF!</v>
      </c>
      <c r="AK15" s="429" t="e">
        <f>+AK16+AK29</f>
        <v>#REF!</v>
      </c>
      <c r="AL15" s="429" t="e">
        <f>+AL16+AL29</f>
        <v>#REF!</v>
      </c>
      <c r="AM15" s="430">
        <f t="shared" ref="AM15:AV15" si="2">AM16+AM29+AM601</f>
        <v>1086465.0350000001</v>
      </c>
      <c r="AN15" s="430">
        <f t="shared" si="2"/>
        <v>926190.03500000003</v>
      </c>
      <c r="AO15" s="430">
        <f t="shared" si="2"/>
        <v>0</v>
      </c>
      <c r="AP15" s="430">
        <f t="shared" si="2"/>
        <v>62571</v>
      </c>
      <c r="AQ15" s="431">
        <f t="shared" si="2"/>
        <v>138478</v>
      </c>
      <c r="AR15" s="431">
        <f t="shared" si="2"/>
        <v>35569</v>
      </c>
      <c r="AS15" s="431">
        <f t="shared" si="2"/>
        <v>1221643.0350000001</v>
      </c>
      <c r="AT15" s="431">
        <f t="shared" si="2"/>
        <v>1029100.035</v>
      </c>
      <c r="AU15" s="430">
        <f t="shared" si="2"/>
        <v>0</v>
      </c>
      <c r="AV15" s="430">
        <f t="shared" si="2"/>
        <v>62571</v>
      </c>
      <c r="AW15" s="432"/>
      <c r="AX15" s="433">
        <f>AN15+AQ15-AR15</f>
        <v>1029099.0350000001</v>
      </c>
      <c r="AY15" s="434">
        <f>AT15-AX15</f>
        <v>0.99999999988358468</v>
      </c>
    </row>
    <row r="16" spans="1:54" s="442" customFormat="1" ht="47.25" x14ac:dyDescent="0.25">
      <c r="A16" s="435" t="s">
        <v>92</v>
      </c>
      <c r="B16" s="436" t="s">
        <v>686</v>
      </c>
      <c r="C16" s="437"/>
      <c r="D16" s="437"/>
      <c r="E16" s="437"/>
      <c r="F16" s="437"/>
      <c r="G16" s="438">
        <f t="shared" ref="G16:AJ16" si="3">G17+G27</f>
        <v>284093</v>
      </c>
      <c r="H16" s="438">
        <f t="shared" si="3"/>
        <v>204093</v>
      </c>
      <c r="I16" s="438">
        <f t="shared" si="3"/>
        <v>0</v>
      </c>
      <c r="J16" s="438">
        <f t="shared" si="3"/>
        <v>0</v>
      </c>
      <c r="K16" s="438">
        <f t="shared" si="3"/>
        <v>0</v>
      </c>
      <c r="L16" s="438">
        <f t="shared" si="3"/>
        <v>47834.41</v>
      </c>
      <c r="M16" s="438">
        <f t="shared" si="3"/>
        <v>27278</v>
      </c>
      <c r="N16" s="438">
        <f t="shared" si="3"/>
        <v>0</v>
      </c>
      <c r="O16" s="438">
        <f t="shared" si="3"/>
        <v>0</v>
      </c>
      <c r="P16" s="438">
        <f t="shared" si="3"/>
        <v>0</v>
      </c>
      <c r="Q16" s="438">
        <f t="shared" si="3"/>
        <v>0</v>
      </c>
      <c r="R16" s="438">
        <f t="shared" si="3"/>
        <v>0</v>
      </c>
      <c r="S16" s="438">
        <f t="shared" si="3"/>
        <v>0</v>
      </c>
      <c r="T16" s="438">
        <f t="shared" si="3"/>
        <v>0</v>
      </c>
      <c r="U16" s="438">
        <f t="shared" si="3"/>
        <v>0</v>
      </c>
      <c r="V16" s="438">
        <f t="shared" si="3"/>
        <v>0</v>
      </c>
      <c r="W16" s="438">
        <f t="shared" si="3"/>
        <v>0</v>
      </c>
      <c r="X16" s="438">
        <f t="shared" si="3"/>
        <v>62571</v>
      </c>
      <c r="Y16" s="438">
        <f t="shared" si="3"/>
        <v>62571</v>
      </c>
      <c r="Z16" s="438">
        <f t="shared" si="3"/>
        <v>0</v>
      </c>
      <c r="AA16" s="438">
        <f t="shared" si="3"/>
        <v>62571</v>
      </c>
      <c r="AB16" s="438">
        <f t="shared" si="3"/>
        <v>0</v>
      </c>
      <c r="AC16" s="438">
        <f t="shared" si="3"/>
        <v>0</v>
      </c>
      <c r="AD16" s="438">
        <f t="shared" si="3"/>
        <v>0</v>
      </c>
      <c r="AE16" s="438">
        <f t="shared" si="3"/>
        <v>0</v>
      </c>
      <c r="AF16" s="438">
        <f t="shared" si="3"/>
        <v>0</v>
      </c>
      <c r="AG16" s="438">
        <f t="shared" si="3"/>
        <v>0</v>
      </c>
      <c r="AH16" s="439">
        <f t="shared" si="3"/>
        <v>62571</v>
      </c>
      <c r="AI16" s="439">
        <f t="shared" si="3"/>
        <v>62571</v>
      </c>
      <c r="AJ16" s="439">
        <f t="shared" si="3"/>
        <v>62571</v>
      </c>
      <c r="AK16" s="439"/>
      <c r="AL16" s="439"/>
      <c r="AM16" s="438">
        <f>AM17+AM27</f>
        <v>62571</v>
      </c>
      <c r="AN16" s="438">
        <f>AN17+AN27</f>
        <v>62571</v>
      </c>
      <c r="AO16" s="439"/>
      <c r="AP16" s="438">
        <f>AP17+AP27</f>
        <v>62571</v>
      </c>
      <c r="AQ16" s="438">
        <f t="shared" ref="AQ16:AR16" si="4">AQ17+AQ27</f>
        <v>0</v>
      </c>
      <c r="AR16" s="438">
        <f t="shared" si="4"/>
        <v>0</v>
      </c>
      <c r="AS16" s="440">
        <v>62571</v>
      </c>
      <c r="AT16" s="440">
        <v>62571</v>
      </c>
      <c r="AU16" s="440"/>
      <c r="AV16" s="440">
        <v>62571</v>
      </c>
      <c r="AW16" s="441"/>
      <c r="AX16" s="822">
        <f>+AW14-2307841</f>
        <v>393863.01300000027</v>
      </c>
    </row>
    <row r="17" spans="1:55" s="144" customFormat="1" ht="47.25" x14ac:dyDescent="0.25">
      <c r="A17" s="443"/>
      <c r="B17" s="444" t="s">
        <v>687</v>
      </c>
      <c r="C17" s="445"/>
      <c r="D17" s="445"/>
      <c r="E17" s="445"/>
      <c r="F17" s="445"/>
      <c r="G17" s="446">
        <f>SUM(G18:G26)</f>
        <v>162283</v>
      </c>
      <c r="H17" s="446">
        <f t="shared" ref="H17:AJ17" si="5">SUM(H18:H26)</f>
        <v>162283</v>
      </c>
      <c r="I17" s="446">
        <f t="shared" si="5"/>
        <v>0</v>
      </c>
      <c r="J17" s="446">
        <f t="shared" si="5"/>
        <v>0</v>
      </c>
      <c r="K17" s="446">
        <f t="shared" si="5"/>
        <v>0</v>
      </c>
      <c r="L17" s="446">
        <f t="shared" si="5"/>
        <v>0</v>
      </c>
      <c r="M17" s="446">
        <f t="shared" si="5"/>
        <v>0</v>
      </c>
      <c r="N17" s="446">
        <f t="shared" si="5"/>
        <v>0</v>
      </c>
      <c r="O17" s="446">
        <f t="shared" si="5"/>
        <v>0</v>
      </c>
      <c r="P17" s="446">
        <f t="shared" si="5"/>
        <v>0</v>
      </c>
      <c r="Q17" s="446">
        <f t="shared" si="5"/>
        <v>0</v>
      </c>
      <c r="R17" s="446">
        <f t="shared" si="5"/>
        <v>0</v>
      </c>
      <c r="S17" s="446">
        <f t="shared" si="5"/>
        <v>0</v>
      </c>
      <c r="T17" s="446">
        <f t="shared" si="5"/>
        <v>0</v>
      </c>
      <c r="U17" s="446">
        <f t="shared" si="5"/>
        <v>0</v>
      </c>
      <c r="V17" s="446">
        <f t="shared" si="5"/>
        <v>0</v>
      </c>
      <c r="W17" s="446">
        <f t="shared" si="5"/>
        <v>0</v>
      </c>
      <c r="X17" s="446">
        <f t="shared" si="5"/>
        <v>57135</v>
      </c>
      <c r="Y17" s="446">
        <f t="shared" si="5"/>
        <v>57135</v>
      </c>
      <c r="Z17" s="446">
        <f t="shared" si="5"/>
        <v>0</v>
      </c>
      <c r="AA17" s="446">
        <f t="shared" si="5"/>
        <v>57135</v>
      </c>
      <c r="AB17" s="446">
        <f t="shared" si="5"/>
        <v>0</v>
      </c>
      <c r="AC17" s="446">
        <f t="shared" si="5"/>
        <v>0</v>
      </c>
      <c r="AD17" s="446">
        <f t="shared" si="5"/>
        <v>0</v>
      </c>
      <c r="AE17" s="446">
        <f t="shared" si="5"/>
        <v>0</v>
      </c>
      <c r="AF17" s="446">
        <f t="shared" si="5"/>
        <v>0</v>
      </c>
      <c r="AG17" s="446">
        <f t="shared" si="5"/>
        <v>0</v>
      </c>
      <c r="AH17" s="446">
        <f t="shared" si="5"/>
        <v>57135</v>
      </c>
      <c r="AI17" s="446">
        <f t="shared" si="5"/>
        <v>57135</v>
      </c>
      <c r="AJ17" s="446">
        <f t="shared" si="5"/>
        <v>57135</v>
      </c>
      <c r="AK17" s="446"/>
      <c r="AL17" s="446"/>
      <c r="AM17" s="446">
        <f>SUM(AM18:AM26)</f>
        <v>57135</v>
      </c>
      <c r="AN17" s="446">
        <f>SUM(AN18:AN26)</f>
        <v>57135</v>
      </c>
      <c r="AO17" s="446"/>
      <c r="AP17" s="446">
        <f>SUM(AP18:AP26)</f>
        <v>57135</v>
      </c>
      <c r="AQ17" s="446"/>
      <c r="AR17" s="446"/>
      <c r="AS17" s="446">
        <f>SUM(AS18:AS26)</f>
        <v>57135</v>
      </c>
      <c r="AT17" s="446">
        <f>SUM(AT18:AT26)</f>
        <v>57135</v>
      </c>
      <c r="AU17" s="447"/>
      <c r="AV17" s="446">
        <f>SUM(AV18:AV26)</f>
        <v>57135</v>
      </c>
      <c r="AW17" s="143"/>
    </row>
    <row r="18" spans="1:55" ht="47.25" x14ac:dyDescent="0.25">
      <c r="A18" s="448" t="s">
        <v>688</v>
      </c>
      <c r="B18" s="449" t="s">
        <v>689</v>
      </c>
      <c r="C18" s="450" t="s">
        <v>690</v>
      </c>
      <c r="D18" s="450" t="s">
        <v>691</v>
      </c>
      <c r="E18" s="450"/>
      <c r="F18" s="451" t="s">
        <v>692</v>
      </c>
      <c r="G18" s="452">
        <v>11325</v>
      </c>
      <c r="H18" s="452">
        <v>11325</v>
      </c>
      <c r="I18" s="453"/>
      <c r="J18" s="453"/>
      <c r="K18" s="453"/>
      <c r="L18" s="453"/>
      <c r="M18" s="453"/>
      <c r="N18" s="453"/>
      <c r="O18" s="453"/>
      <c r="P18" s="453"/>
      <c r="Q18" s="453"/>
      <c r="R18" s="453"/>
      <c r="S18" s="453"/>
      <c r="T18" s="453"/>
      <c r="U18" s="453"/>
      <c r="V18" s="453"/>
      <c r="W18" s="453"/>
      <c r="X18" s="453">
        <f>Y18</f>
        <v>1361</v>
      </c>
      <c r="Y18" s="453">
        <v>1361</v>
      </c>
      <c r="Z18" s="453"/>
      <c r="AA18" s="453">
        <f>Y18</f>
        <v>1361</v>
      </c>
      <c r="AB18" s="453"/>
      <c r="AC18" s="453"/>
      <c r="AD18" s="453"/>
      <c r="AE18" s="453"/>
      <c r="AF18" s="453"/>
      <c r="AG18" s="453"/>
      <c r="AH18" s="453">
        <f t="shared" ref="AH18:AI26" si="6">X18</f>
        <v>1361</v>
      </c>
      <c r="AI18" s="453">
        <f t="shared" si="6"/>
        <v>1361</v>
      </c>
      <c r="AJ18" s="454">
        <f>AI18</f>
        <v>1361</v>
      </c>
      <c r="AK18" s="454"/>
      <c r="AL18" s="454"/>
      <c r="AM18" s="453">
        <f>AN18</f>
        <v>1361</v>
      </c>
      <c r="AN18" s="453">
        <v>1361</v>
      </c>
      <c r="AO18" s="454"/>
      <c r="AP18" s="453">
        <f>AN18</f>
        <v>1361</v>
      </c>
      <c r="AQ18" s="453"/>
      <c r="AR18" s="453"/>
      <c r="AS18" s="55">
        <v>1361</v>
      </c>
      <c r="AT18" s="55">
        <v>1361</v>
      </c>
      <c r="AU18" s="55"/>
      <c r="AV18" s="55">
        <v>1361</v>
      </c>
      <c r="AW18" s="455"/>
      <c r="AX18" s="119"/>
    </row>
    <row r="19" spans="1:55" ht="47.25" x14ac:dyDescent="0.25">
      <c r="A19" s="448" t="s">
        <v>693</v>
      </c>
      <c r="B19" s="449" t="s">
        <v>694</v>
      </c>
      <c r="C19" s="450" t="s">
        <v>38</v>
      </c>
      <c r="D19" s="450" t="s">
        <v>39</v>
      </c>
      <c r="E19" s="450"/>
      <c r="F19" s="450" t="s">
        <v>695</v>
      </c>
      <c r="G19" s="452">
        <v>14995</v>
      </c>
      <c r="H19" s="452">
        <f>G19</f>
        <v>14995</v>
      </c>
      <c r="I19" s="453"/>
      <c r="J19" s="453"/>
      <c r="K19" s="453"/>
      <c r="L19" s="453"/>
      <c r="M19" s="453"/>
      <c r="N19" s="453"/>
      <c r="O19" s="453"/>
      <c r="P19" s="453"/>
      <c r="Q19" s="453"/>
      <c r="R19" s="453"/>
      <c r="S19" s="453"/>
      <c r="T19" s="453"/>
      <c r="U19" s="453"/>
      <c r="V19" s="453"/>
      <c r="W19" s="453"/>
      <c r="X19" s="453">
        <f>Y19</f>
        <v>4109</v>
      </c>
      <c r="Y19" s="453">
        <v>4109</v>
      </c>
      <c r="Z19" s="453"/>
      <c r="AA19" s="453">
        <f t="shared" ref="AA19:AA26" si="7">Y19</f>
        <v>4109</v>
      </c>
      <c r="AB19" s="453"/>
      <c r="AC19" s="453"/>
      <c r="AD19" s="453"/>
      <c r="AE19" s="453"/>
      <c r="AF19" s="453"/>
      <c r="AG19" s="453"/>
      <c r="AH19" s="453">
        <f t="shared" si="6"/>
        <v>4109</v>
      </c>
      <c r="AI19" s="453">
        <f t="shared" si="6"/>
        <v>4109</v>
      </c>
      <c r="AJ19" s="454">
        <f t="shared" ref="AJ19:AJ28" si="8">AI19</f>
        <v>4109</v>
      </c>
      <c r="AK19" s="454"/>
      <c r="AL19" s="454"/>
      <c r="AM19" s="453">
        <f>AN19</f>
        <v>4109</v>
      </c>
      <c r="AN19" s="453">
        <v>4109</v>
      </c>
      <c r="AO19" s="454"/>
      <c r="AP19" s="453">
        <f t="shared" ref="AP19:AP26" si="9">AN19</f>
        <v>4109</v>
      </c>
      <c r="AQ19" s="453"/>
      <c r="AR19" s="453"/>
      <c r="AS19" s="55">
        <v>4109</v>
      </c>
      <c r="AT19" s="55">
        <v>4109</v>
      </c>
      <c r="AU19" s="55"/>
      <c r="AV19" s="55">
        <v>4109</v>
      </c>
      <c r="AW19" s="455"/>
      <c r="AX19" s="119"/>
    </row>
    <row r="20" spans="1:55" ht="47.25" x14ac:dyDescent="0.25">
      <c r="A20" s="448" t="s">
        <v>696</v>
      </c>
      <c r="B20" s="449" t="s">
        <v>697</v>
      </c>
      <c r="C20" s="450" t="s">
        <v>698</v>
      </c>
      <c r="D20" s="450" t="s">
        <v>691</v>
      </c>
      <c r="E20" s="450"/>
      <c r="F20" s="450" t="s">
        <v>699</v>
      </c>
      <c r="G20" s="452">
        <v>14950</v>
      </c>
      <c r="H20" s="452">
        <f>G20</f>
        <v>14950</v>
      </c>
      <c r="I20" s="453"/>
      <c r="J20" s="453"/>
      <c r="K20" s="453"/>
      <c r="L20" s="453"/>
      <c r="M20" s="453"/>
      <c r="N20" s="453"/>
      <c r="O20" s="453"/>
      <c r="P20" s="453"/>
      <c r="Q20" s="453"/>
      <c r="R20" s="453"/>
      <c r="S20" s="453"/>
      <c r="T20" s="453"/>
      <c r="U20" s="453"/>
      <c r="V20" s="453"/>
      <c r="W20" s="453"/>
      <c r="X20" s="453">
        <f>Y20</f>
        <v>4395</v>
      </c>
      <c r="Y20" s="453">
        <v>4395</v>
      </c>
      <c r="Z20" s="453"/>
      <c r="AA20" s="453">
        <f t="shared" si="7"/>
        <v>4395</v>
      </c>
      <c r="AB20" s="453"/>
      <c r="AC20" s="453"/>
      <c r="AD20" s="453"/>
      <c r="AE20" s="453"/>
      <c r="AF20" s="453"/>
      <c r="AG20" s="453"/>
      <c r="AH20" s="453">
        <f t="shared" si="6"/>
        <v>4395</v>
      </c>
      <c r="AI20" s="453">
        <f t="shared" si="6"/>
        <v>4395</v>
      </c>
      <c r="AJ20" s="454">
        <f t="shared" si="8"/>
        <v>4395</v>
      </c>
      <c r="AK20" s="454"/>
      <c r="AL20" s="454"/>
      <c r="AM20" s="453">
        <f>AN20</f>
        <v>4395</v>
      </c>
      <c r="AN20" s="453">
        <v>4395</v>
      </c>
      <c r="AO20" s="454"/>
      <c r="AP20" s="453">
        <f t="shared" si="9"/>
        <v>4395</v>
      </c>
      <c r="AQ20" s="453"/>
      <c r="AR20" s="453"/>
      <c r="AS20" s="55">
        <v>4395</v>
      </c>
      <c r="AT20" s="55">
        <v>4395</v>
      </c>
      <c r="AU20" s="55"/>
      <c r="AV20" s="55">
        <v>4395</v>
      </c>
      <c r="AW20" s="455"/>
      <c r="AX20" s="119"/>
    </row>
    <row r="21" spans="1:55" ht="47.25" x14ac:dyDescent="0.25">
      <c r="A21" s="448" t="s">
        <v>700</v>
      </c>
      <c r="B21" s="449" t="s">
        <v>701</v>
      </c>
      <c r="C21" s="450" t="s">
        <v>702</v>
      </c>
      <c r="D21" s="450" t="s">
        <v>39</v>
      </c>
      <c r="E21" s="450"/>
      <c r="F21" s="450" t="s">
        <v>703</v>
      </c>
      <c r="G21" s="452">
        <v>14990</v>
      </c>
      <c r="H21" s="452">
        <f>G21</f>
        <v>14990</v>
      </c>
      <c r="I21" s="453"/>
      <c r="J21" s="453"/>
      <c r="K21" s="453"/>
      <c r="L21" s="453"/>
      <c r="M21" s="453"/>
      <c r="N21" s="453"/>
      <c r="O21" s="453"/>
      <c r="P21" s="453"/>
      <c r="Q21" s="453"/>
      <c r="R21" s="453"/>
      <c r="S21" s="453"/>
      <c r="T21" s="453"/>
      <c r="U21" s="453"/>
      <c r="V21" s="453"/>
      <c r="W21" s="453"/>
      <c r="X21" s="453">
        <f>Y21</f>
        <v>3772</v>
      </c>
      <c r="Y21" s="453">
        <v>3772</v>
      </c>
      <c r="Z21" s="453"/>
      <c r="AA21" s="453">
        <f t="shared" si="7"/>
        <v>3772</v>
      </c>
      <c r="AB21" s="453"/>
      <c r="AC21" s="453"/>
      <c r="AD21" s="453"/>
      <c r="AE21" s="453"/>
      <c r="AF21" s="453"/>
      <c r="AG21" s="453"/>
      <c r="AH21" s="453">
        <f t="shared" si="6"/>
        <v>3772</v>
      </c>
      <c r="AI21" s="453">
        <f t="shared" si="6"/>
        <v>3772</v>
      </c>
      <c r="AJ21" s="454">
        <f t="shared" si="8"/>
        <v>3772</v>
      </c>
      <c r="AK21" s="454"/>
      <c r="AL21" s="454"/>
      <c r="AM21" s="453">
        <f>AN21</f>
        <v>3772</v>
      </c>
      <c r="AN21" s="453">
        <v>3772</v>
      </c>
      <c r="AO21" s="454"/>
      <c r="AP21" s="453">
        <f t="shared" si="9"/>
        <v>3772</v>
      </c>
      <c r="AQ21" s="453"/>
      <c r="AR21" s="453"/>
      <c r="AS21" s="55">
        <v>3772</v>
      </c>
      <c r="AT21" s="55">
        <v>3772</v>
      </c>
      <c r="AU21" s="55"/>
      <c r="AV21" s="55">
        <v>3772</v>
      </c>
      <c r="AW21" s="455"/>
      <c r="AX21" s="119"/>
    </row>
    <row r="22" spans="1:55" ht="47.25" x14ac:dyDescent="0.25">
      <c r="A22" s="448" t="s">
        <v>704</v>
      </c>
      <c r="B22" s="449" t="s">
        <v>705</v>
      </c>
      <c r="C22" s="450" t="s">
        <v>706</v>
      </c>
      <c r="D22" s="450" t="s">
        <v>707</v>
      </c>
      <c r="E22" s="450"/>
      <c r="F22" s="456" t="s">
        <v>708</v>
      </c>
      <c r="G22" s="452">
        <v>17734</v>
      </c>
      <c r="H22" s="452">
        <f>G22</f>
        <v>17734</v>
      </c>
      <c r="I22" s="453"/>
      <c r="J22" s="453"/>
      <c r="K22" s="453"/>
      <c r="L22" s="453"/>
      <c r="M22" s="453"/>
      <c r="N22" s="453"/>
      <c r="O22" s="453"/>
      <c r="P22" s="453"/>
      <c r="Q22" s="453"/>
      <c r="R22" s="453"/>
      <c r="S22" s="453"/>
      <c r="T22" s="453"/>
      <c r="U22" s="453"/>
      <c r="V22" s="453"/>
      <c r="W22" s="453"/>
      <c r="X22" s="453">
        <v>6298</v>
      </c>
      <c r="Y22" s="453">
        <v>6298</v>
      </c>
      <c r="Z22" s="453"/>
      <c r="AA22" s="453">
        <f t="shared" si="7"/>
        <v>6298</v>
      </c>
      <c r="AB22" s="453"/>
      <c r="AC22" s="453"/>
      <c r="AD22" s="453"/>
      <c r="AE22" s="453"/>
      <c r="AF22" s="453"/>
      <c r="AG22" s="453"/>
      <c r="AH22" s="453">
        <f t="shared" si="6"/>
        <v>6298</v>
      </c>
      <c r="AI22" s="453">
        <f t="shared" si="6"/>
        <v>6298</v>
      </c>
      <c r="AJ22" s="454">
        <f t="shared" si="8"/>
        <v>6298</v>
      </c>
      <c r="AK22" s="454"/>
      <c r="AL22" s="454"/>
      <c r="AM22" s="453">
        <v>6298</v>
      </c>
      <c r="AN22" s="453">
        <v>6298</v>
      </c>
      <c r="AO22" s="454"/>
      <c r="AP22" s="453">
        <f t="shared" si="9"/>
        <v>6298</v>
      </c>
      <c r="AQ22" s="453"/>
      <c r="AR22" s="453"/>
      <c r="AS22" s="55">
        <v>6298</v>
      </c>
      <c r="AT22" s="55">
        <v>6298</v>
      </c>
      <c r="AU22" s="55"/>
      <c r="AV22" s="55">
        <v>6298</v>
      </c>
      <c r="AW22" s="455"/>
      <c r="AX22" s="119"/>
    </row>
    <row r="23" spans="1:55" ht="47.25" x14ac:dyDescent="0.25">
      <c r="A23" s="448" t="s">
        <v>709</v>
      </c>
      <c r="B23" s="449" t="s">
        <v>710</v>
      </c>
      <c r="C23" s="450" t="s">
        <v>711</v>
      </c>
      <c r="D23" s="450" t="s">
        <v>712</v>
      </c>
      <c r="E23" s="450"/>
      <c r="F23" s="456" t="s">
        <v>713</v>
      </c>
      <c r="G23" s="452">
        <f>H23</f>
        <v>41501</v>
      </c>
      <c r="H23" s="452">
        <v>41501</v>
      </c>
      <c r="I23" s="453"/>
      <c r="J23" s="453"/>
      <c r="K23" s="453"/>
      <c r="L23" s="453"/>
      <c r="M23" s="453"/>
      <c r="N23" s="453"/>
      <c r="O23" s="453"/>
      <c r="P23" s="453"/>
      <c r="Q23" s="453"/>
      <c r="R23" s="453"/>
      <c r="S23" s="453"/>
      <c r="T23" s="453"/>
      <c r="U23" s="453"/>
      <c r="V23" s="453"/>
      <c r="W23" s="453"/>
      <c r="X23" s="453">
        <f>Y23</f>
        <v>20634</v>
      </c>
      <c r="Y23" s="453">
        <v>20634</v>
      </c>
      <c r="Z23" s="453"/>
      <c r="AA23" s="453">
        <f t="shared" si="7"/>
        <v>20634</v>
      </c>
      <c r="AB23" s="453"/>
      <c r="AC23" s="453"/>
      <c r="AD23" s="453"/>
      <c r="AE23" s="453"/>
      <c r="AF23" s="453"/>
      <c r="AG23" s="453"/>
      <c r="AH23" s="453">
        <f t="shared" si="6"/>
        <v>20634</v>
      </c>
      <c r="AI23" s="453">
        <f t="shared" si="6"/>
        <v>20634</v>
      </c>
      <c r="AJ23" s="454">
        <f t="shared" si="8"/>
        <v>20634</v>
      </c>
      <c r="AK23" s="454"/>
      <c r="AL23" s="454"/>
      <c r="AM23" s="453">
        <f>AN23</f>
        <v>20634</v>
      </c>
      <c r="AN23" s="453">
        <v>20634</v>
      </c>
      <c r="AO23" s="454"/>
      <c r="AP23" s="453">
        <f t="shared" si="9"/>
        <v>20634</v>
      </c>
      <c r="AQ23" s="453"/>
      <c r="AR23" s="453"/>
      <c r="AS23" s="55">
        <v>20634</v>
      </c>
      <c r="AT23" s="55">
        <v>20634</v>
      </c>
      <c r="AU23" s="55"/>
      <c r="AV23" s="55">
        <v>20634</v>
      </c>
      <c r="AW23" s="455"/>
      <c r="AX23" s="119"/>
    </row>
    <row r="24" spans="1:55" ht="47.25" x14ac:dyDescent="0.25">
      <c r="A24" s="448" t="s">
        <v>714</v>
      </c>
      <c r="B24" s="449" t="s">
        <v>715</v>
      </c>
      <c r="C24" s="450" t="s">
        <v>690</v>
      </c>
      <c r="D24" s="450" t="s">
        <v>707</v>
      </c>
      <c r="E24" s="450"/>
      <c r="F24" s="451" t="s">
        <v>716</v>
      </c>
      <c r="G24" s="452">
        <f>H24</f>
        <v>27438</v>
      </c>
      <c r="H24" s="452">
        <v>27438</v>
      </c>
      <c r="I24" s="453"/>
      <c r="J24" s="453"/>
      <c r="K24" s="453"/>
      <c r="L24" s="453"/>
      <c r="M24" s="453"/>
      <c r="N24" s="453"/>
      <c r="O24" s="453"/>
      <c r="P24" s="453"/>
      <c r="Q24" s="453"/>
      <c r="R24" s="453"/>
      <c r="S24" s="453"/>
      <c r="T24" s="453"/>
      <c r="U24" s="453"/>
      <c r="V24" s="453"/>
      <c r="W24" s="453"/>
      <c r="X24" s="453">
        <f>Y24</f>
        <v>10715</v>
      </c>
      <c r="Y24" s="453">
        <f>12715-2000</f>
        <v>10715</v>
      </c>
      <c r="Z24" s="453"/>
      <c r="AA24" s="453">
        <f t="shared" si="7"/>
        <v>10715</v>
      </c>
      <c r="AB24" s="453"/>
      <c r="AC24" s="453"/>
      <c r="AD24" s="453"/>
      <c r="AE24" s="453"/>
      <c r="AF24" s="453"/>
      <c r="AG24" s="453"/>
      <c r="AH24" s="453">
        <f t="shared" si="6"/>
        <v>10715</v>
      </c>
      <c r="AI24" s="453">
        <f t="shared" si="6"/>
        <v>10715</v>
      </c>
      <c r="AJ24" s="454">
        <f t="shared" si="8"/>
        <v>10715</v>
      </c>
      <c r="AK24" s="454"/>
      <c r="AL24" s="454"/>
      <c r="AM24" s="453">
        <f>AN24</f>
        <v>10715</v>
      </c>
      <c r="AN24" s="453">
        <f>12715-2000</f>
        <v>10715</v>
      </c>
      <c r="AO24" s="454"/>
      <c r="AP24" s="453">
        <f t="shared" si="9"/>
        <v>10715</v>
      </c>
      <c r="AQ24" s="453"/>
      <c r="AR24" s="453"/>
      <c r="AS24" s="55">
        <v>10715</v>
      </c>
      <c r="AT24" s="55">
        <v>10715</v>
      </c>
      <c r="AU24" s="55"/>
      <c r="AV24" s="55">
        <v>10715</v>
      </c>
      <c r="AW24" s="455"/>
      <c r="AX24" s="119"/>
    </row>
    <row r="25" spans="1:55" ht="63" x14ac:dyDescent="0.25">
      <c r="A25" s="448" t="s">
        <v>717</v>
      </c>
      <c r="B25" s="449" t="s">
        <v>718</v>
      </c>
      <c r="C25" s="450" t="s">
        <v>38</v>
      </c>
      <c r="D25" s="450" t="s">
        <v>719</v>
      </c>
      <c r="E25" s="450"/>
      <c r="F25" s="450" t="s">
        <v>720</v>
      </c>
      <c r="G25" s="452">
        <v>12150</v>
      </c>
      <c r="H25" s="452">
        <v>12150</v>
      </c>
      <c r="I25" s="453"/>
      <c r="J25" s="453"/>
      <c r="K25" s="453"/>
      <c r="L25" s="453"/>
      <c r="M25" s="453"/>
      <c r="N25" s="453"/>
      <c r="O25" s="453"/>
      <c r="P25" s="453"/>
      <c r="Q25" s="453"/>
      <c r="R25" s="453"/>
      <c r="S25" s="453"/>
      <c r="T25" s="453"/>
      <c r="U25" s="453"/>
      <c r="V25" s="453"/>
      <c r="W25" s="453"/>
      <c r="X25" s="453">
        <f>Y25</f>
        <v>2234</v>
      </c>
      <c r="Y25" s="453">
        <v>2234</v>
      </c>
      <c r="Z25" s="453"/>
      <c r="AA25" s="453">
        <f t="shared" si="7"/>
        <v>2234</v>
      </c>
      <c r="AB25" s="453"/>
      <c r="AC25" s="453"/>
      <c r="AD25" s="453"/>
      <c r="AE25" s="453"/>
      <c r="AF25" s="453"/>
      <c r="AG25" s="453"/>
      <c r="AH25" s="453">
        <f t="shared" si="6"/>
        <v>2234</v>
      </c>
      <c r="AI25" s="453">
        <f t="shared" si="6"/>
        <v>2234</v>
      </c>
      <c r="AJ25" s="454">
        <f t="shared" si="8"/>
        <v>2234</v>
      </c>
      <c r="AK25" s="454"/>
      <c r="AL25" s="454"/>
      <c r="AM25" s="453">
        <f>AN25</f>
        <v>2234</v>
      </c>
      <c r="AN25" s="453">
        <v>2234</v>
      </c>
      <c r="AO25" s="454"/>
      <c r="AP25" s="453">
        <f t="shared" si="9"/>
        <v>2234</v>
      </c>
      <c r="AQ25" s="453"/>
      <c r="AR25" s="453"/>
      <c r="AS25" s="55">
        <v>2234</v>
      </c>
      <c r="AT25" s="55">
        <v>2234</v>
      </c>
      <c r="AU25" s="55"/>
      <c r="AV25" s="55">
        <v>2234</v>
      </c>
      <c r="AW25" s="455"/>
      <c r="AX25" s="119"/>
    </row>
    <row r="26" spans="1:55" ht="47.25" x14ac:dyDescent="0.25">
      <c r="A26" s="448" t="s">
        <v>721</v>
      </c>
      <c r="B26" s="449" t="s">
        <v>722</v>
      </c>
      <c r="C26" s="450" t="s">
        <v>723</v>
      </c>
      <c r="D26" s="450"/>
      <c r="E26" s="450"/>
      <c r="F26" s="450" t="s">
        <v>724</v>
      </c>
      <c r="G26" s="452">
        <f>H26</f>
        <v>7200</v>
      </c>
      <c r="H26" s="452">
        <v>7200</v>
      </c>
      <c r="I26" s="453"/>
      <c r="J26" s="453"/>
      <c r="K26" s="453"/>
      <c r="L26" s="453"/>
      <c r="M26" s="453"/>
      <c r="N26" s="453"/>
      <c r="O26" s="453"/>
      <c r="P26" s="453"/>
      <c r="Q26" s="453"/>
      <c r="R26" s="453"/>
      <c r="S26" s="453"/>
      <c r="T26" s="453"/>
      <c r="U26" s="453"/>
      <c r="V26" s="453"/>
      <c r="W26" s="453"/>
      <c r="X26" s="453">
        <f>Y26</f>
        <v>3617</v>
      </c>
      <c r="Y26" s="453">
        <v>3617</v>
      </c>
      <c r="Z26" s="453"/>
      <c r="AA26" s="453">
        <f t="shared" si="7"/>
        <v>3617</v>
      </c>
      <c r="AB26" s="453"/>
      <c r="AC26" s="453"/>
      <c r="AD26" s="453"/>
      <c r="AE26" s="453"/>
      <c r="AF26" s="453"/>
      <c r="AG26" s="453"/>
      <c r="AH26" s="453">
        <f t="shared" si="6"/>
        <v>3617</v>
      </c>
      <c r="AI26" s="453">
        <f t="shared" si="6"/>
        <v>3617</v>
      </c>
      <c r="AJ26" s="454">
        <f t="shared" si="8"/>
        <v>3617</v>
      </c>
      <c r="AK26" s="454"/>
      <c r="AL26" s="454"/>
      <c r="AM26" s="453">
        <f>AN26</f>
        <v>3617</v>
      </c>
      <c r="AN26" s="453">
        <v>3617</v>
      </c>
      <c r="AO26" s="454"/>
      <c r="AP26" s="453">
        <f t="shared" si="9"/>
        <v>3617</v>
      </c>
      <c r="AQ26" s="453"/>
      <c r="AR26" s="453"/>
      <c r="AS26" s="55">
        <v>3617</v>
      </c>
      <c r="AT26" s="55">
        <v>3617</v>
      </c>
      <c r="AU26" s="55"/>
      <c r="AV26" s="55">
        <v>3617</v>
      </c>
      <c r="AW26" s="455"/>
      <c r="AX26" s="119"/>
    </row>
    <row r="27" spans="1:55" s="144" customFormat="1" ht="31.5" x14ac:dyDescent="0.25">
      <c r="A27" s="443"/>
      <c r="B27" s="444" t="s">
        <v>725</v>
      </c>
      <c r="C27" s="445"/>
      <c r="D27" s="445"/>
      <c r="E27" s="445"/>
      <c r="F27" s="445"/>
      <c r="G27" s="446">
        <f>G28</f>
        <v>121810</v>
      </c>
      <c r="H27" s="446">
        <f t="shared" ref="H27:AJ27" si="10">H28</f>
        <v>41810</v>
      </c>
      <c r="I27" s="446">
        <f t="shared" si="10"/>
        <v>0</v>
      </c>
      <c r="J27" s="446">
        <f t="shared" si="10"/>
        <v>0</v>
      </c>
      <c r="K27" s="446">
        <f t="shared" si="10"/>
        <v>0</v>
      </c>
      <c r="L27" s="446">
        <f t="shared" si="10"/>
        <v>47834.41</v>
      </c>
      <c r="M27" s="446">
        <f t="shared" si="10"/>
        <v>27278</v>
      </c>
      <c r="N27" s="446">
        <f t="shared" si="10"/>
        <v>0</v>
      </c>
      <c r="O27" s="446">
        <f t="shared" si="10"/>
        <v>0</v>
      </c>
      <c r="P27" s="446">
        <f t="shared" si="10"/>
        <v>0</v>
      </c>
      <c r="Q27" s="446">
        <f t="shared" si="10"/>
        <v>0</v>
      </c>
      <c r="R27" s="446">
        <f t="shared" si="10"/>
        <v>0</v>
      </c>
      <c r="S27" s="446">
        <f t="shared" si="10"/>
        <v>0</v>
      </c>
      <c r="T27" s="446">
        <f t="shared" si="10"/>
        <v>0</v>
      </c>
      <c r="U27" s="446">
        <f t="shared" si="10"/>
        <v>0</v>
      </c>
      <c r="V27" s="446">
        <f t="shared" si="10"/>
        <v>0</v>
      </c>
      <c r="W27" s="446">
        <f t="shared" si="10"/>
        <v>0</v>
      </c>
      <c r="X27" s="446">
        <f>X28</f>
        <v>5436</v>
      </c>
      <c r="Y27" s="446">
        <f t="shared" si="10"/>
        <v>5436</v>
      </c>
      <c r="Z27" s="446">
        <f t="shared" si="10"/>
        <v>0</v>
      </c>
      <c r="AA27" s="446">
        <f t="shared" si="10"/>
        <v>5436</v>
      </c>
      <c r="AB27" s="446">
        <f t="shared" si="10"/>
        <v>0</v>
      </c>
      <c r="AC27" s="446">
        <f t="shared" si="10"/>
        <v>0</v>
      </c>
      <c r="AD27" s="446">
        <f t="shared" si="10"/>
        <v>0</v>
      </c>
      <c r="AE27" s="446">
        <f t="shared" si="10"/>
        <v>0</v>
      </c>
      <c r="AF27" s="446">
        <f t="shared" si="10"/>
        <v>0</v>
      </c>
      <c r="AG27" s="446">
        <f t="shared" si="10"/>
        <v>0</v>
      </c>
      <c r="AH27" s="446">
        <f t="shared" si="10"/>
        <v>5436</v>
      </c>
      <c r="AI27" s="446">
        <f t="shared" si="10"/>
        <v>5436</v>
      </c>
      <c r="AJ27" s="446">
        <f t="shared" si="10"/>
        <v>5436</v>
      </c>
      <c r="AK27" s="446"/>
      <c r="AL27" s="446"/>
      <c r="AM27" s="446">
        <f>AM28</f>
        <v>5436</v>
      </c>
      <c r="AN27" s="446">
        <f>AN28</f>
        <v>5436</v>
      </c>
      <c r="AO27" s="446"/>
      <c r="AP27" s="446">
        <f>AP28</f>
        <v>5436</v>
      </c>
      <c r="AQ27" s="446"/>
      <c r="AR27" s="446"/>
      <c r="AS27" s="447">
        <v>5436</v>
      </c>
      <c r="AT27" s="447">
        <v>5436</v>
      </c>
      <c r="AU27" s="447"/>
      <c r="AV27" s="447">
        <v>5436</v>
      </c>
      <c r="AW27" s="457"/>
    </row>
    <row r="28" spans="1:55" ht="47.25" x14ac:dyDescent="0.25">
      <c r="A28" s="448" t="s">
        <v>688</v>
      </c>
      <c r="B28" s="449" t="s">
        <v>726</v>
      </c>
      <c r="C28" s="450" t="s">
        <v>690</v>
      </c>
      <c r="D28" s="450"/>
      <c r="E28" s="450"/>
      <c r="F28" s="458" t="s">
        <v>727</v>
      </c>
      <c r="G28" s="452">
        <v>121810</v>
      </c>
      <c r="H28" s="452">
        <v>41810</v>
      </c>
      <c r="I28" s="453"/>
      <c r="J28" s="453"/>
      <c r="K28" s="453"/>
      <c r="L28" s="453">
        <v>47834.41</v>
      </c>
      <c r="M28" s="453">
        <v>27278</v>
      </c>
      <c r="N28" s="453"/>
      <c r="O28" s="453"/>
      <c r="P28" s="453"/>
      <c r="Q28" s="453"/>
      <c r="R28" s="453"/>
      <c r="S28" s="453"/>
      <c r="T28" s="453"/>
      <c r="U28" s="453"/>
      <c r="V28" s="453"/>
      <c r="W28" s="453"/>
      <c r="X28" s="453">
        <f>Y28</f>
        <v>5436</v>
      </c>
      <c r="Y28" s="453">
        <v>5436</v>
      </c>
      <c r="Z28" s="453"/>
      <c r="AA28" s="453">
        <f>Y28</f>
        <v>5436</v>
      </c>
      <c r="AB28" s="453"/>
      <c r="AC28" s="453"/>
      <c r="AD28" s="453"/>
      <c r="AE28" s="453"/>
      <c r="AF28" s="453"/>
      <c r="AG28" s="453"/>
      <c r="AH28" s="453">
        <f>X28</f>
        <v>5436</v>
      </c>
      <c r="AI28" s="453">
        <f>Y28</f>
        <v>5436</v>
      </c>
      <c r="AJ28" s="454">
        <f t="shared" si="8"/>
        <v>5436</v>
      </c>
      <c r="AK28" s="454"/>
      <c r="AL28" s="454"/>
      <c r="AM28" s="453">
        <f>AN28</f>
        <v>5436</v>
      </c>
      <c r="AN28" s="453">
        <v>5436</v>
      </c>
      <c r="AO28" s="454"/>
      <c r="AP28" s="453">
        <f>AN28</f>
        <v>5436</v>
      </c>
      <c r="AQ28" s="453"/>
      <c r="AR28" s="453"/>
      <c r="AS28" s="55">
        <v>5436</v>
      </c>
      <c r="AT28" s="55">
        <v>5436</v>
      </c>
      <c r="AU28" s="55"/>
      <c r="AV28" s="55">
        <v>5436</v>
      </c>
      <c r="AW28" s="455"/>
      <c r="AX28" s="119"/>
    </row>
    <row r="29" spans="1:55" s="434" customFormat="1" ht="47.25" x14ac:dyDescent="0.25">
      <c r="A29" s="426" t="s">
        <v>533</v>
      </c>
      <c r="B29" s="427" t="s">
        <v>728</v>
      </c>
      <c r="C29" s="428"/>
      <c r="D29" s="428"/>
      <c r="E29" s="428"/>
      <c r="F29" s="428"/>
      <c r="G29" s="459">
        <f t="shared" ref="G29:AT29" si="11">G30+G107+G146+G207+G370+G425+G507+G544+G585+G590</f>
        <v>427075.45448699995</v>
      </c>
      <c r="H29" s="459">
        <f t="shared" si="11"/>
        <v>327430.99119599996</v>
      </c>
      <c r="I29" s="459">
        <f t="shared" si="11"/>
        <v>0</v>
      </c>
      <c r="J29" s="459">
        <f t="shared" si="11"/>
        <v>0</v>
      </c>
      <c r="K29" s="459">
        <f t="shared" si="11"/>
        <v>0</v>
      </c>
      <c r="L29" s="459">
        <f t="shared" si="11"/>
        <v>61657.276639999996</v>
      </c>
      <c r="M29" s="459">
        <f t="shared" si="11"/>
        <v>41241.229704000005</v>
      </c>
      <c r="N29" s="459">
        <f t="shared" si="11"/>
        <v>57857.276639999996</v>
      </c>
      <c r="O29" s="459">
        <f t="shared" si="11"/>
        <v>40598.948704000002</v>
      </c>
      <c r="P29" s="459" t="e">
        <f t="shared" si="11"/>
        <v>#REF!</v>
      </c>
      <c r="Q29" s="459" t="e">
        <f t="shared" si="11"/>
        <v>#REF!</v>
      </c>
      <c r="R29" s="459" t="e">
        <f t="shared" si="11"/>
        <v>#REF!</v>
      </c>
      <c r="S29" s="459" t="e">
        <f t="shared" si="11"/>
        <v>#REF!</v>
      </c>
      <c r="T29" s="459" t="e">
        <f t="shared" si="11"/>
        <v>#REF!</v>
      </c>
      <c r="U29" s="459" t="e">
        <f t="shared" si="11"/>
        <v>#REF!</v>
      </c>
      <c r="V29" s="459" t="e">
        <f t="shared" si="11"/>
        <v>#REF!</v>
      </c>
      <c r="W29" s="459" t="e">
        <f t="shared" si="11"/>
        <v>#REF!</v>
      </c>
      <c r="X29" s="459" t="e">
        <f t="shared" si="11"/>
        <v>#REF!</v>
      </c>
      <c r="Y29" s="459" t="e">
        <f t="shared" si="11"/>
        <v>#REF!</v>
      </c>
      <c r="Z29" s="459" t="e">
        <f t="shared" si="11"/>
        <v>#REF!</v>
      </c>
      <c r="AA29" s="459" t="e">
        <f t="shared" si="11"/>
        <v>#REF!</v>
      </c>
      <c r="AB29" s="459" t="e">
        <f t="shared" si="11"/>
        <v>#REF!</v>
      </c>
      <c r="AC29" s="459" t="e">
        <f t="shared" si="11"/>
        <v>#REF!</v>
      </c>
      <c r="AD29" s="459" t="e">
        <f t="shared" si="11"/>
        <v>#REF!</v>
      </c>
      <c r="AE29" s="459" t="e">
        <f t="shared" si="11"/>
        <v>#REF!</v>
      </c>
      <c r="AF29" s="459" t="e">
        <f t="shared" si="11"/>
        <v>#REF!</v>
      </c>
      <c r="AG29" s="459" t="e">
        <f t="shared" si="11"/>
        <v>#REF!</v>
      </c>
      <c r="AH29" s="459" t="e">
        <f t="shared" si="11"/>
        <v>#REF!</v>
      </c>
      <c r="AI29" s="459" t="e">
        <f t="shared" si="11"/>
        <v>#REF!</v>
      </c>
      <c r="AJ29" s="459" t="e">
        <f t="shared" si="11"/>
        <v>#REF!</v>
      </c>
      <c r="AK29" s="459" t="e">
        <f t="shared" si="11"/>
        <v>#REF!</v>
      </c>
      <c r="AL29" s="459" t="e">
        <f t="shared" si="11"/>
        <v>#REF!</v>
      </c>
      <c r="AM29" s="460">
        <f t="shared" si="11"/>
        <v>1023894.035</v>
      </c>
      <c r="AN29" s="460">
        <f t="shared" si="11"/>
        <v>863619.03500000003</v>
      </c>
      <c r="AO29" s="459">
        <f t="shared" si="11"/>
        <v>0</v>
      </c>
      <c r="AP29" s="459">
        <f t="shared" si="11"/>
        <v>0</v>
      </c>
      <c r="AQ29" s="461">
        <f t="shared" si="11"/>
        <v>35568</v>
      </c>
      <c r="AR29" s="461">
        <f t="shared" si="11"/>
        <v>35569</v>
      </c>
      <c r="AS29" s="461">
        <f t="shared" si="11"/>
        <v>1049574.0350000001</v>
      </c>
      <c r="AT29" s="461">
        <f t="shared" si="11"/>
        <v>863619.03500000003</v>
      </c>
      <c r="AU29" s="462">
        <v>0</v>
      </c>
      <c r="AV29" s="462">
        <v>0</v>
      </c>
      <c r="AW29" s="463"/>
    </row>
    <row r="30" spans="1:55" s="14" customFormat="1" ht="78.75" x14ac:dyDescent="0.25">
      <c r="A30" s="426" t="s">
        <v>688</v>
      </c>
      <c r="B30" s="427" t="s">
        <v>40</v>
      </c>
      <c r="C30" s="464"/>
      <c r="D30" s="464"/>
      <c r="E30" s="464"/>
      <c r="F30" s="464"/>
      <c r="G30" s="465">
        <f>+G31+G33</f>
        <v>54130.015639999998</v>
      </c>
      <c r="H30" s="465">
        <f t="shared" ref="H30:AL30" si="12">+H31+H33</f>
        <v>51003.081703999997</v>
      </c>
      <c r="I30" s="465">
        <f t="shared" si="12"/>
        <v>0</v>
      </c>
      <c r="J30" s="465">
        <f t="shared" si="12"/>
        <v>0</v>
      </c>
      <c r="K30" s="465">
        <f t="shared" si="12"/>
        <v>0</v>
      </c>
      <c r="L30" s="465">
        <f t="shared" si="12"/>
        <v>21929.23864</v>
      </c>
      <c r="M30" s="465">
        <f t="shared" si="12"/>
        <v>19725.910704000002</v>
      </c>
      <c r="N30" s="465">
        <f t="shared" si="12"/>
        <v>21929.23864</v>
      </c>
      <c r="O30" s="465">
        <f t="shared" si="12"/>
        <v>19725.910704000002</v>
      </c>
      <c r="P30" s="465">
        <f t="shared" si="12"/>
        <v>0</v>
      </c>
      <c r="Q30" s="465">
        <f t="shared" si="12"/>
        <v>0</v>
      </c>
      <c r="R30" s="465">
        <f t="shared" si="12"/>
        <v>0</v>
      </c>
      <c r="S30" s="465">
        <f t="shared" si="12"/>
        <v>0</v>
      </c>
      <c r="T30" s="465">
        <f t="shared" si="12"/>
        <v>0</v>
      </c>
      <c r="U30" s="465">
        <f t="shared" si="12"/>
        <v>0</v>
      </c>
      <c r="V30" s="465">
        <f t="shared" si="12"/>
        <v>0</v>
      </c>
      <c r="W30" s="465">
        <f t="shared" si="12"/>
        <v>0</v>
      </c>
      <c r="X30" s="465">
        <f t="shared" si="12"/>
        <v>78008</v>
      </c>
      <c r="Y30" s="465">
        <f t="shared" si="12"/>
        <v>75990</v>
      </c>
      <c r="Z30" s="465">
        <f t="shared" si="12"/>
        <v>0</v>
      </c>
      <c r="AA30" s="465">
        <f t="shared" si="12"/>
        <v>0</v>
      </c>
      <c r="AB30" s="465">
        <f t="shared" si="12"/>
        <v>0</v>
      </c>
      <c r="AC30" s="465">
        <f t="shared" si="12"/>
        <v>0</v>
      </c>
      <c r="AD30" s="465">
        <f t="shared" si="12"/>
        <v>4445</v>
      </c>
      <c r="AE30" s="465">
        <f t="shared" si="12"/>
        <v>4445</v>
      </c>
      <c r="AF30" s="465">
        <f t="shared" si="12"/>
        <v>0</v>
      </c>
      <c r="AG30" s="465">
        <f t="shared" si="12"/>
        <v>0</v>
      </c>
      <c r="AH30" s="465">
        <f t="shared" si="12"/>
        <v>7179</v>
      </c>
      <c r="AI30" s="465">
        <f t="shared" si="12"/>
        <v>7179</v>
      </c>
      <c r="AJ30" s="465">
        <f t="shared" si="12"/>
        <v>0</v>
      </c>
      <c r="AK30" s="465">
        <f t="shared" si="12"/>
        <v>8415.68</v>
      </c>
      <c r="AL30" s="465">
        <f t="shared" si="12"/>
        <v>8415.68</v>
      </c>
      <c r="AM30" s="466">
        <f t="shared" ref="AM30:AS30" si="13">+AM31+AM33+AM32</f>
        <v>77946.035000000003</v>
      </c>
      <c r="AN30" s="466">
        <f t="shared" si="13"/>
        <v>75990.035000000003</v>
      </c>
      <c r="AO30" s="466">
        <f t="shared" si="13"/>
        <v>0</v>
      </c>
      <c r="AP30" s="466">
        <f t="shared" si="13"/>
        <v>0</v>
      </c>
      <c r="AQ30" s="467">
        <f t="shared" si="13"/>
        <v>10226</v>
      </c>
      <c r="AR30" s="467">
        <f t="shared" si="13"/>
        <v>10227</v>
      </c>
      <c r="AS30" s="467">
        <f t="shared" si="13"/>
        <v>77918.035000000003</v>
      </c>
      <c r="AT30" s="467">
        <f>+AT31+AT33+AT32</f>
        <v>75990.035000000003</v>
      </c>
      <c r="AU30" s="466">
        <f t="shared" ref="AU30:AV30" si="14">+AU31+AU33+AU32</f>
        <v>0</v>
      </c>
      <c r="AV30" s="466">
        <f t="shared" si="14"/>
        <v>0</v>
      </c>
      <c r="AW30" s="468" t="s">
        <v>729</v>
      </c>
    </row>
    <row r="31" spans="1:55" s="479" customFormat="1" ht="47.25" x14ac:dyDescent="0.25">
      <c r="A31" s="469" t="s">
        <v>730</v>
      </c>
      <c r="B31" s="470" t="s">
        <v>731</v>
      </c>
      <c r="C31" s="471"/>
      <c r="D31" s="471"/>
      <c r="E31" s="471"/>
      <c r="F31" s="471"/>
      <c r="G31" s="472">
        <v>29633.61564</v>
      </c>
      <c r="H31" s="472">
        <v>27430.287703999998</v>
      </c>
      <c r="I31" s="473"/>
      <c r="J31" s="473"/>
      <c r="K31" s="473"/>
      <c r="L31" s="473">
        <v>21929.23864</v>
      </c>
      <c r="M31" s="473">
        <v>19725.910704000002</v>
      </c>
      <c r="N31" s="473">
        <v>21929.23864</v>
      </c>
      <c r="O31" s="473">
        <v>19725.910704000002</v>
      </c>
      <c r="P31" s="473"/>
      <c r="Q31" s="473"/>
      <c r="R31" s="473"/>
      <c r="S31" s="473"/>
      <c r="T31" s="473"/>
      <c r="U31" s="473"/>
      <c r="V31" s="473"/>
      <c r="W31" s="473"/>
      <c r="X31" s="474">
        <v>5954.3489999999993</v>
      </c>
      <c r="Y31" s="474">
        <v>5954.3489999999993</v>
      </c>
      <c r="Z31" s="474">
        <v>0</v>
      </c>
      <c r="AA31" s="474">
        <v>0</v>
      </c>
      <c r="AB31" s="474"/>
      <c r="AC31" s="472"/>
      <c r="AD31" s="472">
        <v>3730.2659999999996</v>
      </c>
      <c r="AE31" s="472">
        <v>3730.2659999999996</v>
      </c>
      <c r="AF31" s="472"/>
      <c r="AG31" s="472"/>
      <c r="AH31" s="472">
        <v>231.17500000000018</v>
      </c>
      <c r="AI31" s="472">
        <v>231.17500000000018</v>
      </c>
      <c r="AJ31" s="475"/>
      <c r="AK31" s="475">
        <f>IF(AN31-Y31&gt;0,AN31-Y31,0)</f>
        <v>181.65100000000075</v>
      </c>
      <c r="AL31" s="475">
        <f>IF(Y31-AN31&gt;0,Y31-AN31,0)</f>
        <v>0</v>
      </c>
      <c r="AM31" s="475">
        <v>6136</v>
      </c>
      <c r="AN31" s="475">
        <v>6136</v>
      </c>
      <c r="AO31" s="475"/>
      <c r="AP31" s="475"/>
      <c r="AQ31" s="472"/>
      <c r="AR31" s="476">
        <v>2224</v>
      </c>
      <c r="AS31" s="477">
        <v>6136</v>
      </c>
      <c r="AT31" s="477">
        <v>3912</v>
      </c>
      <c r="AU31" s="478"/>
      <c r="AV31" s="478"/>
      <c r="AW31" s="97" t="s">
        <v>732</v>
      </c>
      <c r="BC31" s="479" t="s">
        <v>733</v>
      </c>
    </row>
    <row r="32" spans="1:55" s="489" customFormat="1" ht="51" customHeight="1" x14ac:dyDescent="0.25">
      <c r="A32" s="480" t="s">
        <v>730</v>
      </c>
      <c r="B32" s="481" t="s">
        <v>734</v>
      </c>
      <c r="C32" s="482"/>
      <c r="D32" s="482"/>
      <c r="E32" s="482"/>
      <c r="F32" s="482"/>
      <c r="G32" s="476"/>
      <c r="H32" s="476"/>
      <c r="I32" s="483"/>
      <c r="J32" s="483"/>
      <c r="K32" s="483"/>
      <c r="L32" s="483"/>
      <c r="M32" s="483"/>
      <c r="N32" s="483"/>
      <c r="O32" s="483"/>
      <c r="P32" s="483"/>
      <c r="Q32" s="483"/>
      <c r="R32" s="483"/>
      <c r="S32" s="483"/>
      <c r="T32" s="483"/>
      <c r="U32" s="483"/>
      <c r="V32" s="483"/>
      <c r="W32" s="483"/>
      <c r="X32" s="484"/>
      <c r="Y32" s="484"/>
      <c r="Z32" s="484"/>
      <c r="AA32" s="484"/>
      <c r="AB32" s="484"/>
      <c r="AC32" s="476"/>
      <c r="AD32" s="476"/>
      <c r="AE32" s="476"/>
      <c r="AF32" s="476"/>
      <c r="AG32" s="476"/>
      <c r="AH32" s="476"/>
      <c r="AI32" s="476"/>
      <c r="AJ32" s="485"/>
      <c r="AK32" s="485"/>
      <c r="AL32" s="485"/>
      <c r="AM32" s="485"/>
      <c r="AN32" s="485"/>
      <c r="AO32" s="485"/>
      <c r="AP32" s="485"/>
      <c r="AQ32" s="476"/>
      <c r="AR32" s="476">
        <v>1407</v>
      </c>
      <c r="AS32" s="486"/>
      <c r="AT32" s="486">
        <v>-1407</v>
      </c>
      <c r="AU32" s="487"/>
      <c r="AV32" s="487"/>
      <c r="AW32" s="488"/>
    </row>
    <row r="33" spans="1:55" s="479" customFormat="1" ht="31.5" x14ac:dyDescent="0.25">
      <c r="A33" s="469" t="s">
        <v>730</v>
      </c>
      <c r="B33" s="470" t="s">
        <v>735</v>
      </c>
      <c r="C33" s="471"/>
      <c r="D33" s="471"/>
      <c r="E33" s="471"/>
      <c r="F33" s="471"/>
      <c r="G33" s="472">
        <f>SUM(G34:G102)</f>
        <v>24496.399999999998</v>
      </c>
      <c r="H33" s="472">
        <f>SUM(H34:H102)</f>
        <v>23572.794000000002</v>
      </c>
      <c r="I33" s="472">
        <f t="shared" ref="I33:W33" si="15">+SUM(I34:I87)</f>
        <v>0</v>
      </c>
      <c r="J33" s="472">
        <f t="shared" si="15"/>
        <v>0</v>
      </c>
      <c r="K33" s="472">
        <f t="shared" si="15"/>
        <v>0</v>
      </c>
      <c r="L33" s="472">
        <f t="shared" si="15"/>
        <v>0</v>
      </c>
      <c r="M33" s="472">
        <f t="shared" si="15"/>
        <v>0</v>
      </c>
      <c r="N33" s="472">
        <f t="shared" si="15"/>
        <v>0</v>
      </c>
      <c r="O33" s="472">
        <f t="shared" si="15"/>
        <v>0</v>
      </c>
      <c r="P33" s="472">
        <f t="shared" si="15"/>
        <v>0</v>
      </c>
      <c r="Q33" s="472">
        <f t="shared" si="15"/>
        <v>0</v>
      </c>
      <c r="R33" s="472">
        <f t="shared" si="15"/>
        <v>0</v>
      </c>
      <c r="S33" s="472">
        <f t="shared" si="15"/>
        <v>0</v>
      </c>
      <c r="T33" s="472">
        <f t="shared" si="15"/>
        <v>0</v>
      </c>
      <c r="U33" s="472">
        <f t="shared" si="15"/>
        <v>0</v>
      </c>
      <c r="V33" s="472">
        <f t="shared" si="15"/>
        <v>0</v>
      </c>
      <c r="W33" s="472">
        <f t="shared" si="15"/>
        <v>0</v>
      </c>
      <c r="X33" s="472">
        <f>SUM(X34:X102)</f>
        <v>72053.650999999998</v>
      </c>
      <c r="Y33" s="472">
        <f>SUM(Y34:Y102)</f>
        <v>70035.650999999998</v>
      </c>
      <c r="Z33" s="472">
        <f>SUM(Z34:Z102)</f>
        <v>0</v>
      </c>
      <c r="AA33" s="472">
        <f>SUM(AA34:AA102)</f>
        <v>0</v>
      </c>
      <c r="AB33" s="472">
        <f t="shared" ref="AB33:AJ33" si="16">+SUM(AB34:AB87)</f>
        <v>0</v>
      </c>
      <c r="AC33" s="472">
        <f t="shared" si="16"/>
        <v>0</v>
      </c>
      <c r="AD33" s="472">
        <f t="shared" si="16"/>
        <v>714.73399999999992</v>
      </c>
      <c r="AE33" s="472">
        <f t="shared" si="16"/>
        <v>714.73399999999992</v>
      </c>
      <c r="AF33" s="472">
        <f t="shared" si="16"/>
        <v>0</v>
      </c>
      <c r="AG33" s="472">
        <f t="shared" si="16"/>
        <v>0</v>
      </c>
      <c r="AH33" s="472">
        <f t="shared" si="16"/>
        <v>6947.8249999999998</v>
      </c>
      <c r="AI33" s="472">
        <f t="shared" si="16"/>
        <v>6947.8249999999998</v>
      </c>
      <c r="AJ33" s="472">
        <f t="shared" si="16"/>
        <v>0</v>
      </c>
      <c r="AK33" s="472">
        <f t="shared" ref="AK33:AL33" si="17">SUM(AK34:AK102)</f>
        <v>8234.0290000000005</v>
      </c>
      <c r="AL33" s="472">
        <f t="shared" si="17"/>
        <v>8415.68</v>
      </c>
      <c r="AM33" s="490">
        <f t="shared" ref="AM33:AV33" si="18">SUM(AM34:AM106)</f>
        <v>71810.035000000003</v>
      </c>
      <c r="AN33" s="490">
        <f t="shared" si="18"/>
        <v>69854.035000000003</v>
      </c>
      <c r="AO33" s="490">
        <f t="shared" si="18"/>
        <v>0</v>
      </c>
      <c r="AP33" s="490">
        <f t="shared" si="18"/>
        <v>0</v>
      </c>
      <c r="AQ33" s="477">
        <f t="shared" si="18"/>
        <v>10226</v>
      </c>
      <c r="AR33" s="477">
        <f t="shared" si="18"/>
        <v>6596</v>
      </c>
      <c r="AS33" s="477">
        <f t="shared" si="18"/>
        <v>71782.035000000003</v>
      </c>
      <c r="AT33" s="477">
        <f t="shared" si="18"/>
        <v>73485.035000000003</v>
      </c>
      <c r="AU33" s="490">
        <f t="shared" si="18"/>
        <v>0</v>
      </c>
      <c r="AV33" s="490">
        <f t="shared" si="18"/>
        <v>0</v>
      </c>
      <c r="AW33" s="491"/>
    </row>
    <row r="34" spans="1:55" ht="76.5" customHeight="1" x14ac:dyDescent="0.25">
      <c r="A34" s="448" t="s">
        <v>688</v>
      </c>
      <c r="B34" s="449" t="s">
        <v>736</v>
      </c>
      <c r="C34" s="450" t="s">
        <v>41</v>
      </c>
      <c r="D34" s="450" t="s">
        <v>737</v>
      </c>
      <c r="E34" s="450" t="s">
        <v>738</v>
      </c>
      <c r="F34" s="450" t="s">
        <v>739</v>
      </c>
      <c r="G34" s="452">
        <v>1650</v>
      </c>
      <c r="H34" s="452">
        <v>1550.277</v>
      </c>
      <c r="I34" s="492"/>
      <c r="J34" s="492"/>
      <c r="K34" s="492"/>
      <c r="L34" s="492"/>
      <c r="M34" s="492"/>
      <c r="N34" s="492"/>
      <c r="O34" s="492"/>
      <c r="P34" s="492"/>
      <c r="Q34" s="492"/>
      <c r="R34" s="492"/>
      <c r="S34" s="492"/>
      <c r="T34" s="492"/>
      <c r="U34" s="492"/>
      <c r="V34" s="492"/>
      <c r="W34" s="492"/>
      <c r="X34" s="453">
        <v>1650</v>
      </c>
      <c r="Y34" s="453">
        <v>1550.277</v>
      </c>
      <c r="Z34" s="453"/>
      <c r="AA34" s="453"/>
      <c r="AB34" s="453"/>
      <c r="AC34" s="452"/>
      <c r="AD34" s="452">
        <v>415.73399999999998</v>
      </c>
      <c r="AE34" s="452">
        <v>415.73399999999998</v>
      </c>
      <c r="AF34" s="452"/>
      <c r="AG34" s="452"/>
      <c r="AH34" s="452">
        <v>178.86500000000001</v>
      </c>
      <c r="AI34" s="452">
        <v>178.86500000000001</v>
      </c>
      <c r="AJ34" s="454"/>
      <c r="AK34" s="454">
        <f>IF(AN34-Y34&gt;0,AN34-Y34,0)</f>
        <v>0</v>
      </c>
      <c r="AL34" s="454">
        <f>IF(Y34-AN34&gt;0,Y34-AN34,0)</f>
        <v>0.27700000000004366</v>
      </c>
      <c r="AM34" s="817">
        <v>1650</v>
      </c>
      <c r="AN34" s="817">
        <v>1550</v>
      </c>
      <c r="AO34" s="454"/>
      <c r="AP34" s="454"/>
      <c r="AQ34" s="452"/>
      <c r="AR34" s="493">
        <v>931</v>
      </c>
      <c r="AS34" s="494">
        <v>1650</v>
      </c>
      <c r="AT34" s="314">
        <v>619</v>
      </c>
      <c r="AU34" s="495"/>
      <c r="AV34" s="495"/>
      <c r="AW34" s="97" t="s">
        <v>740</v>
      </c>
      <c r="AX34" s="119"/>
      <c r="BB34" s="119">
        <v>1</v>
      </c>
      <c r="BC34" s="119">
        <v>6</v>
      </c>
    </row>
    <row r="35" spans="1:55" ht="69.75" customHeight="1" x14ac:dyDescent="0.25">
      <c r="A35" s="448" t="s">
        <v>693</v>
      </c>
      <c r="B35" s="449" t="s">
        <v>741</v>
      </c>
      <c r="C35" s="450" t="s">
        <v>42</v>
      </c>
      <c r="D35" s="450" t="s">
        <v>742</v>
      </c>
      <c r="E35" s="450" t="s">
        <v>738</v>
      </c>
      <c r="F35" s="450" t="s">
        <v>743</v>
      </c>
      <c r="G35" s="452">
        <v>1652</v>
      </c>
      <c r="H35" s="452">
        <v>1568.511</v>
      </c>
      <c r="I35" s="492"/>
      <c r="J35" s="492"/>
      <c r="K35" s="492"/>
      <c r="L35" s="492"/>
      <c r="M35" s="492"/>
      <c r="N35" s="492"/>
      <c r="O35" s="492"/>
      <c r="P35" s="492"/>
      <c r="Q35" s="492"/>
      <c r="R35" s="492"/>
      <c r="S35" s="492"/>
      <c r="T35" s="492"/>
      <c r="U35" s="492"/>
      <c r="V35" s="492"/>
      <c r="W35" s="492"/>
      <c r="X35" s="453">
        <v>1652</v>
      </c>
      <c r="Y35" s="453">
        <v>1568.511</v>
      </c>
      <c r="Z35" s="453"/>
      <c r="AA35" s="453"/>
      <c r="AB35" s="453"/>
      <c r="AC35" s="452"/>
      <c r="AD35" s="452"/>
      <c r="AE35" s="452"/>
      <c r="AF35" s="452"/>
      <c r="AG35" s="452"/>
      <c r="AH35" s="452">
        <v>674.59300000000007</v>
      </c>
      <c r="AI35" s="452">
        <v>674.59300000000007</v>
      </c>
      <c r="AJ35" s="454"/>
      <c r="AK35" s="454">
        <f t="shared" ref="AK35:AK98" si="19">IF(AN35-Y35&gt;0,AN35-Y35,0)</f>
        <v>0</v>
      </c>
      <c r="AL35" s="454">
        <f t="shared" ref="AL35:AL98" si="20">IF(Y35-AN35&gt;0,Y35-AN35,0)</f>
        <v>0.51099999999996726</v>
      </c>
      <c r="AM35" s="817">
        <v>1652</v>
      </c>
      <c r="AN35" s="817">
        <v>1568</v>
      </c>
      <c r="AO35" s="454"/>
      <c r="AP35" s="454"/>
      <c r="AQ35" s="452"/>
      <c r="AR35" s="493">
        <v>894</v>
      </c>
      <c r="AS35" s="494">
        <v>1652</v>
      </c>
      <c r="AT35" s="818">
        <v>674</v>
      </c>
      <c r="AU35" s="495"/>
      <c r="AV35" s="495"/>
      <c r="AW35" s="97" t="s">
        <v>744</v>
      </c>
      <c r="AX35" s="119"/>
      <c r="BB35" s="119">
        <v>1</v>
      </c>
      <c r="BC35" s="119">
        <v>6</v>
      </c>
    </row>
    <row r="36" spans="1:55" ht="63" x14ac:dyDescent="0.25">
      <c r="A36" s="448" t="s">
        <v>696</v>
      </c>
      <c r="B36" s="449" t="s">
        <v>745</v>
      </c>
      <c r="C36" s="450" t="s">
        <v>746</v>
      </c>
      <c r="D36" s="450" t="s">
        <v>747</v>
      </c>
      <c r="E36" s="450" t="s">
        <v>738</v>
      </c>
      <c r="F36" s="450" t="s">
        <v>748</v>
      </c>
      <c r="G36" s="452">
        <v>1150</v>
      </c>
      <c r="H36" s="452">
        <v>1099</v>
      </c>
      <c r="I36" s="492"/>
      <c r="J36" s="492"/>
      <c r="K36" s="492"/>
      <c r="L36" s="492"/>
      <c r="M36" s="492"/>
      <c r="N36" s="492"/>
      <c r="O36" s="492"/>
      <c r="P36" s="492"/>
      <c r="Q36" s="492"/>
      <c r="R36" s="492"/>
      <c r="S36" s="492"/>
      <c r="T36" s="492"/>
      <c r="U36" s="492"/>
      <c r="V36" s="492"/>
      <c r="W36" s="492"/>
      <c r="X36" s="453">
        <v>1150</v>
      </c>
      <c r="Y36" s="453">
        <v>1099</v>
      </c>
      <c r="Z36" s="453"/>
      <c r="AA36" s="453"/>
      <c r="AB36" s="453"/>
      <c r="AC36" s="452"/>
      <c r="AD36" s="452">
        <v>299</v>
      </c>
      <c r="AE36" s="452">
        <v>299</v>
      </c>
      <c r="AF36" s="452"/>
      <c r="AG36" s="452"/>
      <c r="AH36" s="452"/>
      <c r="AI36" s="452"/>
      <c r="AJ36" s="454"/>
      <c r="AK36" s="454">
        <f t="shared" si="19"/>
        <v>0</v>
      </c>
      <c r="AL36" s="454">
        <f t="shared" si="20"/>
        <v>0</v>
      </c>
      <c r="AM36" s="817">
        <v>1150</v>
      </c>
      <c r="AN36" s="817">
        <v>1099</v>
      </c>
      <c r="AO36" s="454"/>
      <c r="AP36" s="454"/>
      <c r="AQ36" s="452"/>
      <c r="AR36" s="493">
        <v>800</v>
      </c>
      <c r="AS36" s="494">
        <v>1150</v>
      </c>
      <c r="AT36" s="819">
        <v>299</v>
      </c>
      <c r="AU36" s="495"/>
      <c r="AV36" s="495"/>
      <c r="AW36" s="97" t="s">
        <v>749</v>
      </c>
      <c r="AX36" s="119"/>
      <c r="BB36" s="119">
        <v>1</v>
      </c>
      <c r="BC36" s="119">
        <v>6</v>
      </c>
    </row>
    <row r="37" spans="1:55" ht="63" x14ac:dyDescent="0.25">
      <c r="A37" s="448" t="s">
        <v>700</v>
      </c>
      <c r="B37" s="449" t="s">
        <v>750</v>
      </c>
      <c r="C37" s="450" t="s">
        <v>751</v>
      </c>
      <c r="D37" s="450" t="s">
        <v>752</v>
      </c>
      <c r="E37" s="450" t="s">
        <v>738</v>
      </c>
      <c r="F37" s="450" t="s">
        <v>753</v>
      </c>
      <c r="G37" s="452">
        <v>1886.365</v>
      </c>
      <c r="H37" s="452">
        <v>1760.9190000000001</v>
      </c>
      <c r="I37" s="492"/>
      <c r="J37" s="492"/>
      <c r="K37" s="492"/>
      <c r="L37" s="492"/>
      <c r="M37" s="492"/>
      <c r="N37" s="492"/>
      <c r="O37" s="492"/>
      <c r="P37" s="492"/>
      <c r="Q37" s="492"/>
      <c r="R37" s="492"/>
      <c r="S37" s="492"/>
      <c r="T37" s="492"/>
      <c r="U37" s="492"/>
      <c r="V37" s="492"/>
      <c r="W37" s="492"/>
      <c r="X37" s="453">
        <v>1886.365</v>
      </c>
      <c r="Y37" s="453">
        <v>1760.9190000000001</v>
      </c>
      <c r="Z37" s="453"/>
      <c r="AA37" s="453"/>
      <c r="AB37" s="453"/>
      <c r="AC37" s="452"/>
      <c r="AD37" s="452"/>
      <c r="AE37" s="452"/>
      <c r="AF37" s="452"/>
      <c r="AG37" s="452"/>
      <c r="AH37" s="452">
        <v>530.91899999999998</v>
      </c>
      <c r="AI37" s="452">
        <v>530.91899999999998</v>
      </c>
      <c r="AJ37" s="454"/>
      <c r="AK37" s="454">
        <f t="shared" si="19"/>
        <v>1.0809999999999036</v>
      </c>
      <c r="AL37" s="454">
        <f t="shared" si="20"/>
        <v>0</v>
      </c>
      <c r="AM37" s="817">
        <v>1886</v>
      </c>
      <c r="AN37" s="817">
        <v>1762</v>
      </c>
      <c r="AO37" s="454"/>
      <c r="AP37" s="454"/>
      <c r="AQ37" s="452"/>
      <c r="AR37" s="493">
        <v>1230</v>
      </c>
      <c r="AS37" s="494">
        <v>1886</v>
      </c>
      <c r="AT37" s="819">
        <v>532</v>
      </c>
      <c r="AU37" s="495"/>
      <c r="AV37" s="495"/>
      <c r="AW37" s="97" t="s">
        <v>754</v>
      </c>
      <c r="AX37" s="119"/>
      <c r="BB37" s="119">
        <v>1</v>
      </c>
      <c r="BC37" s="119">
        <v>6</v>
      </c>
    </row>
    <row r="38" spans="1:55" ht="74.25" customHeight="1" x14ac:dyDescent="0.25">
      <c r="A38" s="448" t="s">
        <v>704</v>
      </c>
      <c r="B38" s="449" t="s">
        <v>755</v>
      </c>
      <c r="C38" s="450" t="s">
        <v>43</v>
      </c>
      <c r="D38" s="450" t="s">
        <v>737</v>
      </c>
      <c r="E38" s="450" t="s">
        <v>738</v>
      </c>
      <c r="F38" s="450" t="s">
        <v>756</v>
      </c>
      <c r="G38" s="452">
        <v>1950</v>
      </c>
      <c r="H38" s="452">
        <v>1577.0519999999999</v>
      </c>
      <c r="I38" s="492"/>
      <c r="J38" s="492"/>
      <c r="K38" s="492"/>
      <c r="L38" s="492"/>
      <c r="M38" s="492"/>
      <c r="N38" s="492"/>
      <c r="O38" s="492"/>
      <c r="P38" s="492"/>
      <c r="Q38" s="492"/>
      <c r="R38" s="492"/>
      <c r="S38" s="492"/>
      <c r="T38" s="492"/>
      <c r="U38" s="492"/>
      <c r="V38" s="492"/>
      <c r="W38" s="492"/>
      <c r="X38" s="453">
        <v>1950</v>
      </c>
      <c r="Y38" s="453">
        <v>1577.0519999999999</v>
      </c>
      <c r="Z38" s="453"/>
      <c r="AA38" s="453"/>
      <c r="AB38" s="453"/>
      <c r="AC38" s="452"/>
      <c r="AD38" s="452"/>
      <c r="AE38" s="452"/>
      <c r="AF38" s="452"/>
      <c r="AG38" s="452"/>
      <c r="AH38" s="452">
        <v>457.05200000000002</v>
      </c>
      <c r="AI38" s="452">
        <v>457.05200000000002</v>
      </c>
      <c r="AJ38" s="454"/>
      <c r="AK38" s="454">
        <f t="shared" si="19"/>
        <v>0.94800000000009277</v>
      </c>
      <c r="AL38" s="454">
        <f t="shared" si="20"/>
        <v>0</v>
      </c>
      <c r="AM38" s="817">
        <v>1950</v>
      </c>
      <c r="AN38" s="817">
        <v>1578</v>
      </c>
      <c r="AO38" s="454"/>
      <c r="AP38" s="454"/>
      <c r="AQ38" s="452"/>
      <c r="AR38" s="493">
        <v>1121</v>
      </c>
      <c r="AS38" s="494">
        <v>1950</v>
      </c>
      <c r="AT38" s="819">
        <v>457</v>
      </c>
      <c r="AU38" s="495"/>
      <c r="AV38" s="495"/>
      <c r="AW38" s="97" t="s">
        <v>757</v>
      </c>
      <c r="AX38" s="119"/>
      <c r="BB38" s="119">
        <v>1</v>
      </c>
      <c r="BC38" s="119">
        <v>6</v>
      </c>
    </row>
    <row r="39" spans="1:55" ht="31.5" x14ac:dyDescent="0.25">
      <c r="A39" s="448" t="s">
        <v>709</v>
      </c>
      <c r="B39" s="449" t="s">
        <v>758</v>
      </c>
      <c r="C39" s="450" t="s">
        <v>44</v>
      </c>
      <c r="D39" s="450"/>
      <c r="E39" s="450" t="s">
        <v>759</v>
      </c>
      <c r="F39" s="496" t="s">
        <v>760</v>
      </c>
      <c r="G39" s="817">
        <v>1500</v>
      </c>
      <c r="H39" s="817">
        <v>1470</v>
      </c>
      <c r="I39" s="492"/>
      <c r="J39" s="492"/>
      <c r="K39" s="492"/>
      <c r="L39" s="492"/>
      <c r="M39" s="492"/>
      <c r="N39" s="492"/>
      <c r="O39" s="492"/>
      <c r="P39" s="492"/>
      <c r="Q39" s="492"/>
      <c r="R39" s="492"/>
      <c r="S39" s="492"/>
      <c r="T39" s="492"/>
      <c r="U39" s="492"/>
      <c r="V39" s="492"/>
      <c r="W39" s="492"/>
      <c r="X39" s="453">
        <v>1500</v>
      </c>
      <c r="Y39" s="453">
        <v>1470</v>
      </c>
      <c r="Z39" s="453"/>
      <c r="AA39" s="453"/>
      <c r="AB39" s="453"/>
      <c r="AC39" s="452"/>
      <c r="AD39" s="452"/>
      <c r="AE39" s="452"/>
      <c r="AF39" s="452"/>
      <c r="AG39" s="452"/>
      <c r="AH39" s="452">
        <v>1018</v>
      </c>
      <c r="AI39" s="452">
        <v>1018</v>
      </c>
      <c r="AJ39" s="454"/>
      <c r="AK39" s="454">
        <f t="shared" si="19"/>
        <v>0</v>
      </c>
      <c r="AL39" s="454">
        <f t="shared" si="20"/>
        <v>0</v>
      </c>
      <c r="AM39" s="817">
        <v>1500</v>
      </c>
      <c r="AN39" s="817">
        <v>1470</v>
      </c>
      <c r="AO39" s="454"/>
      <c r="AP39" s="454"/>
      <c r="AQ39" s="452"/>
      <c r="AR39" s="452"/>
      <c r="AS39" s="494">
        <v>1500</v>
      </c>
      <c r="AT39" s="820">
        <v>1470</v>
      </c>
      <c r="AU39" s="495"/>
      <c r="AV39" s="495"/>
      <c r="AW39" s="10"/>
      <c r="AX39" s="119"/>
      <c r="BB39" s="119">
        <v>1</v>
      </c>
      <c r="BC39" s="119">
        <v>6</v>
      </c>
    </row>
    <row r="40" spans="1:55" ht="31.5" x14ac:dyDescent="0.25">
      <c r="A40" s="448" t="s">
        <v>714</v>
      </c>
      <c r="B40" s="449" t="s">
        <v>761</v>
      </c>
      <c r="C40" s="450" t="s">
        <v>43</v>
      </c>
      <c r="D40" s="450" t="s">
        <v>762</v>
      </c>
      <c r="E40" s="450" t="s">
        <v>759</v>
      </c>
      <c r="F40" s="450" t="s">
        <v>763</v>
      </c>
      <c r="G40" s="817">
        <v>2950</v>
      </c>
      <c r="H40" s="817">
        <v>2910</v>
      </c>
      <c r="I40" s="492"/>
      <c r="J40" s="492"/>
      <c r="K40" s="492"/>
      <c r="L40" s="492"/>
      <c r="M40" s="492"/>
      <c r="N40" s="492"/>
      <c r="O40" s="492"/>
      <c r="P40" s="492"/>
      <c r="Q40" s="492"/>
      <c r="R40" s="492"/>
      <c r="S40" s="492"/>
      <c r="T40" s="492"/>
      <c r="U40" s="492"/>
      <c r="V40" s="492"/>
      <c r="W40" s="492"/>
      <c r="X40" s="453">
        <v>2950</v>
      </c>
      <c r="Y40" s="453">
        <v>2910</v>
      </c>
      <c r="Z40" s="453"/>
      <c r="AA40" s="453"/>
      <c r="AB40" s="453"/>
      <c r="AC40" s="452"/>
      <c r="AD40" s="452"/>
      <c r="AE40" s="452"/>
      <c r="AF40" s="452"/>
      <c r="AG40" s="452"/>
      <c r="AH40" s="452">
        <v>2001.471</v>
      </c>
      <c r="AI40" s="452">
        <v>2001.471</v>
      </c>
      <c r="AJ40" s="454"/>
      <c r="AK40" s="454">
        <f t="shared" si="19"/>
        <v>0</v>
      </c>
      <c r="AL40" s="454">
        <f t="shared" si="20"/>
        <v>0</v>
      </c>
      <c r="AM40" s="817">
        <v>2950</v>
      </c>
      <c r="AN40" s="817">
        <v>2910</v>
      </c>
      <c r="AO40" s="454"/>
      <c r="AP40" s="454"/>
      <c r="AQ40" s="452"/>
      <c r="AR40" s="452"/>
      <c r="AS40" s="494">
        <v>2950</v>
      </c>
      <c r="AT40" s="820">
        <v>2910</v>
      </c>
      <c r="AU40" s="495"/>
      <c r="AV40" s="495"/>
      <c r="AW40" s="10"/>
      <c r="AX40" s="119"/>
      <c r="BB40" s="119">
        <v>1</v>
      </c>
      <c r="BC40" s="119">
        <v>6</v>
      </c>
    </row>
    <row r="41" spans="1:55" ht="31.5" x14ac:dyDescent="0.25">
      <c r="A41" s="448" t="s">
        <v>717</v>
      </c>
      <c r="B41" s="449" t="s">
        <v>764</v>
      </c>
      <c r="C41" s="450" t="s">
        <v>41</v>
      </c>
      <c r="D41" s="450" t="s">
        <v>45</v>
      </c>
      <c r="E41" s="450" t="s">
        <v>759</v>
      </c>
      <c r="F41" s="450" t="s">
        <v>765</v>
      </c>
      <c r="G41" s="817">
        <v>1600</v>
      </c>
      <c r="H41" s="817">
        <v>1570</v>
      </c>
      <c r="I41" s="492"/>
      <c r="J41" s="492"/>
      <c r="K41" s="492"/>
      <c r="L41" s="492"/>
      <c r="M41" s="492"/>
      <c r="N41" s="492"/>
      <c r="O41" s="492"/>
      <c r="P41" s="492"/>
      <c r="Q41" s="492"/>
      <c r="R41" s="492"/>
      <c r="S41" s="492"/>
      <c r="T41" s="492"/>
      <c r="U41" s="492"/>
      <c r="V41" s="492"/>
      <c r="W41" s="492"/>
      <c r="X41" s="453">
        <v>1600</v>
      </c>
      <c r="Y41" s="453">
        <v>1570</v>
      </c>
      <c r="Z41" s="453"/>
      <c r="AA41" s="453"/>
      <c r="AB41" s="453"/>
      <c r="AC41" s="452"/>
      <c r="AD41" s="452"/>
      <c r="AE41" s="452"/>
      <c r="AF41" s="452"/>
      <c r="AG41" s="452"/>
      <c r="AH41" s="452">
        <v>1100</v>
      </c>
      <c r="AI41" s="452">
        <v>1100</v>
      </c>
      <c r="AJ41" s="454"/>
      <c r="AK41" s="454">
        <f t="shared" si="19"/>
        <v>0</v>
      </c>
      <c r="AL41" s="454">
        <f t="shared" si="20"/>
        <v>0</v>
      </c>
      <c r="AM41" s="817">
        <v>1600</v>
      </c>
      <c r="AN41" s="817">
        <v>1570</v>
      </c>
      <c r="AO41" s="454"/>
      <c r="AP41" s="454"/>
      <c r="AQ41" s="452"/>
      <c r="AR41" s="452"/>
      <c r="AS41" s="494">
        <v>1600</v>
      </c>
      <c r="AT41" s="820">
        <v>1570</v>
      </c>
      <c r="AU41" s="495"/>
      <c r="AV41" s="495"/>
      <c r="AW41" s="10"/>
      <c r="AX41" s="119"/>
      <c r="BB41" s="119">
        <v>1</v>
      </c>
      <c r="BC41" s="119">
        <v>6</v>
      </c>
    </row>
    <row r="42" spans="1:55" ht="31.5" x14ac:dyDescent="0.25">
      <c r="A42" s="448" t="s">
        <v>721</v>
      </c>
      <c r="B42" s="449" t="s">
        <v>766</v>
      </c>
      <c r="C42" s="450" t="s">
        <v>44</v>
      </c>
      <c r="D42" s="450"/>
      <c r="E42" s="450" t="s">
        <v>46</v>
      </c>
      <c r="F42" s="450" t="s">
        <v>767</v>
      </c>
      <c r="G42" s="817">
        <v>450</v>
      </c>
      <c r="H42" s="817">
        <v>440</v>
      </c>
      <c r="I42" s="492"/>
      <c r="J42" s="492"/>
      <c r="K42" s="492"/>
      <c r="L42" s="492"/>
      <c r="M42" s="492"/>
      <c r="N42" s="492"/>
      <c r="O42" s="492"/>
      <c r="P42" s="492"/>
      <c r="Q42" s="492"/>
      <c r="R42" s="492"/>
      <c r="S42" s="492"/>
      <c r="T42" s="492"/>
      <c r="U42" s="492"/>
      <c r="V42" s="492"/>
      <c r="W42" s="492"/>
      <c r="X42" s="453">
        <v>450</v>
      </c>
      <c r="Y42" s="453">
        <v>440</v>
      </c>
      <c r="Z42" s="453"/>
      <c r="AA42" s="453"/>
      <c r="AB42" s="453"/>
      <c r="AC42" s="452"/>
      <c r="AD42" s="452"/>
      <c r="AE42" s="452"/>
      <c r="AF42" s="452"/>
      <c r="AG42" s="452"/>
      <c r="AH42" s="452">
        <v>30</v>
      </c>
      <c r="AI42" s="452">
        <v>30</v>
      </c>
      <c r="AJ42" s="454"/>
      <c r="AK42" s="454">
        <f t="shared" si="19"/>
        <v>0</v>
      </c>
      <c r="AL42" s="454">
        <f t="shared" si="20"/>
        <v>0</v>
      </c>
      <c r="AM42" s="817">
        <v>450</v>
      </c>
      <c r="AN42" s="817">
        <v>440</v>
      </c>
      <c r="AO42" s="454"/>
      <c r="AP42" s="454"/>
      <c r="AQ42" s="452"/>
      <c r="AR42" s="452"/>
      <c r="AS42" s="494">
        <v>450</v>
      </c>
      <c r="AT42" s="820">
        <v>440</v>
      </c>
      <c r="AU42" s="495"/>
      <c r="AV42" s="495"/>
      <c r="AW42" s="10"/>
      <c r="AX42" s="119"/>
      <c r="BB42" s="119">
        <v>1</v>
      </c>
      <c r="BC42" s="119">
        <v>6</v>
      </c>
    </row>
    <row r="43" spans="1:55" ht="31.5" x14ac:dyDescent="0.25">
      <c r="A43" s="448" t="s">
        <v>768</v>
      </c>
      <c r="B43" s="449" t="s">
        <v>769</v>
      </c>
      <c r="C43" s="450" t="s">
        <v>47</v>
      </c>
      <c r="D43" s="450" t="s">
        <v>770</v>
      </c>
      <c r="E43" s="450" t="s">
        <v>46</v>
      </c>
      <c r="F43" s="450"/>
      <c r="G43" s="817">
        <v>1550</v>
      </c>
      <c r="H43" s="817">
        <v>1540</v>
      </c>
      <c r="I43" s="492"/>
      <c r="J43" s="492"/>
      <c r="K43" s="492"/>
      <c r="L43" s="492"/>
      <c r="M43" s="492"/>
      <c r="N43" s="492"/>
      <c r="O43" s="492"/>
      <c r="P43" s="492"/>
      <c r="Q43" s="492"/>
      <c r="R43" s="492"/>
      <c r="S43" s="492"/>
      <c r="T43" s="492"/>
      <c r="U43" s="492"/>
      <c r="V43" s="492"/>
      <c r="W43" s="492"/>
      <c r="X43" s="453">
        <v>1550</v>
      </c>
      <c r="Y43" s="453">
        <v>1540</v>
      </c>
      <c r="Z43" s="453"/>
      <c r="AA43" s="453"/>
      <c r="AB43" s="453"/>
      <c r="AC43" s="452"/>
      <c r="AD43" s="452"/>
      <c r="AE43" s="452"/>
      <c r="AF43" s="452"/>
      <c r="AG43" s="452"/>
      <c r="AH43" s="452">
        <v>166</v>
      </c>
      <c r="AI43" s="452">
        <v>166</v>
      </c>
      <c r="AJ43" s="454"/>
      <c r="AK43" s="454">
        <f t="shared" si="19"/>
        <v>0</v>
      </c>
      <c r="AL43" s="454">
        <f t="shared" si="20"/>
        <v>0</v>
      </c>
      <c r="AM43" s="817">
        <v>1550</v>
      </c>
      <c r="AN43" s="817">
        <v>1540</v>
      </c>
      <c r="AO43" s="454"/>
      <c r="AP43" s="454"/>
      <c r="AQ43" s="452"/>
      <c r="AR43" s="452"/>
      <c r="AS43" s="494">
        <v>1550</v>
      </c>
      <c r="AT43" s="820">
        <v>1540</v>
      </c>
      <c r="AU43" s="495"/>
      <c r="AV43" s="495"/>
      <c r="AW43" s="10"/>
      <c r="AX43" s="119"/>
      <c r="BB43" s="119">
        <v>1</v>
      </c>
      <c r="BC43" s="119">
        <v>6</v>
      </c>
    </row>
    <row r="44" spans="1:55" ht="31.5" x14ac:dyDescent="0.25">
      <c r="A44" s="448" t="s">
        <v>771</v>
      </c>
      <c r="B44" s="449" t="s">
        <v>772</v>
      </c>
      <c r="C44" s="450" t="s">
        <v>44</v>
      </c>
      <c r="D44" s="450"/>
      <c r="E44" s="450" t="s">
        <v>46</v>
      </c>
      <c r="F44" s="450" t="s">
        <v>773</v>
      </c>
      <c r="G44" s="817">
        <v>450</v>
      </c>
      <c r="H44" s="817">
        <v>440</v>
      </c>
      <c r="I44" s="492"/>
      <c r="J44" s="492"/>
      <c r="K44" s="492"/>
      <c r="L44" s="492"/>
      <c r="M44" s="492"/>
      <c r="N44" s="492"/>
      <c r="O44" s="492"/>
      <c r="P44" s="492"/>
      <c r="Q44" s="492"/>
      <c r="R44" s="492"/>
      <c r="S44" s="492"/>
      <c r="T44" s="492"/>
      <c r="U44" s="492"/>
      <c r="V44" s="492"/>
      <c r="W44" s="492"/>
      <c r="X44" s="453">
        <v>450</v>
      </c>
      <c r="Y44" s="453">
        <v>440</v>
      </c>
      <c r="Z44" s="453"/>
      <c r="AA44" s="453"/>
      <c r="AB44" s="453"/>
      <c r="AC44" s="452"/>
      <c r="AD44" s="452"/>
      <c r="AE44" s="452"/>
      <c r="AF44" s="452"/>
      <c r="AG44" s="452"/>
      <c r="AH44" s="452">
        <v>30</v>
      </c>
      <c r="AI44" s="452">
        <v>30</v>
      </c>
      <c r="AJ44" s="454"/>
      <c r="AK44" s="454">
        <f t="shared" si="19"/>
        <v>0</v>
      </c>
      <c r="AL44" s="454">
        <f t="shared" si="20"/>
        <v>0</v>
      </c>
      <c r="AM44" s="817">
        <v>450</v>
      </c>
      <c r="AN44" s="817">
        <v>440</v>
      </c>
      <c r="AO44" s="454"/>
      <c r="AP44" s="454"/>
      <c r="AQ44" s="452"/>
      <c r="AR44" s="452"/>
      <c r="AS44" s="494">
        <v>450</v>
      </c>
      <c r="AT44" s="820">
        <v>440</v>
      </c>
      <c r="AU44" s="495"/>
      <c r="AV44" s="495"/>
      <c r="AW44" s="10"/>
      <c r="AX44" s="119"/>
      <c r="BB44" s="119">
        <v>1</v>
      </c>
      <c r="BC44" s="119">
        <v>6</v>
      </c>
    </row>
    <row r="45" spans="1:55" ht="31.5" x14ac:dyDescent="0.25">
      <c r="A45" s="448" t="s">
        <v>774</v>
      </c>
      <c r="B45" s="449" t="s">
        <v>775</v>
      </c>
      <c r="C45" s="450" t="s">
        <v>44</v>
      </c>
      <c r="D45" s="450"/>
      <c r="E45" s="450" t="s">
        <v>46</v>
      </c>
      <c r="F45" s="450" t="s">
        <v>776</v>
      </c>
      <c r="G45" s="817">
        <v>450</v>
      </c>
      <c r="H45" s="817">
        <v>440</v>
      </c>
      <c r="I45" s="492"/>
      <c r="J45" s="492"/>
      <c r="K45" s="492"/>
      <c r="L45" s="492"/>
      <c r="M45" s="492"/>
      <c r="N45" s="492"/>
      <c r="O45" s="492"/>
      <c r="P45" s="492"/>
      <c r="Q45" s="492"/>
      <c r="R45" s="492"/>
      <c r="S45" s="492"/>
      <c r="T45" s="492"/>
      <c r="U45" s="492"/>
      <c r="V45" s="492"/>
      <c r="W45" s="492"/>
      <c r="X45" s="453">
        <v>450</v>
      </c>
      <c r="Y45" s="453">
        <v>440</v>
      </c>
      <c r="Z45" s="453"/>
      <c r="AA45" s="453"/>
      <c r="AB45" s="453"/>
      <c r="AC45" s="452"/>
      <c r="AD45" s="452"/>
      <c r="AE45" s="452"/>
      <c r="AF45" s="452"/>
      <c r="AG45" s="452"/>
      <c r="AH45" s="452">
        <v>30</v>
      </c>
      <c r="AI45" s="452">
        <v>30</v>
      </c>
      <c r="AJ45" s="454"/>
      <c r="AK45" s="454">
        <f t="shared" si="19"/>
        <v>0</v>
      </c>
      <c r="AL45" s="454">
        <f t="shared" si="20"/>
        <v>0</v>
      </c>
      <c r="AM45" s="817">
        <v>450</v>
      </c>
      <c r="AN45" s="817">
        <v>440</v>
      </c>
      <c r="AO45" s="454"/>
      <c r="AP45" s="454"/>
      <c r="AQ45" s="452"/>
      <c r="AR45" s="452"/>
      <c r="AS45" s="494">
        <v>450</v>
      </c>
      <c r="AT45" s="820">
        <v>440</v>
      </c>
      <c r="AU45" s="495"/>
      <c r="AV45" s="495"/>
      <c r="AW45" s="10"/>
      <c r="AX45" s="119"/>
      <c r="BB45" s="119">
        <v>1</v>
      </c>
      <c r="BC45" s="119">
        <v>6</v>
      </c>
    </row>
    <row r="46" spans="1:55" ht="47.25" x14ac:dyDescent="0.25">
      <c r="A46" s="448" t="s">
        <v>777</v>
      </c>
      <c r="B46" s="449" t="s">
        <v>778</v>
      </c>
      <c r="C46" s="450" t="s">
        <v>48</v>
      </c>
      <c r="D46" s="450" t="s">
        <v>779</v>
      </c>
      <c r="E46" s="450" t="s">
        <v>46</v>
      </c>
      <c r="F46" s="450" t="s">
        <v>780</v>
      </c>
      <c r="G46" s="817">
        <v>1538.0350000000001</v>
      </c>
      <c r="H46" s="817">
        <f>G46-10</f>
        <v>1528.0350000000001</v>
      </c>
      <c r="I46" s="492"/>
      <c r="J46" s="492"/>
      <c r="K46" s="492"/>
      <c r="L46" s="492"/>
      <c r="M46" s="492"/>
      <c r="N46" s="492"/>
      <c r="O46" s="492"/>
      <c r="P46" s="492"/>
      <c r="Q46" s="492"/>
      <c r="R46" s="492"/>
      <c r="S46" s="492"/>
      <c r="T46" s="492"/>
      <c r="U46" s="492"/>
      <c r="V46" s="492"/>
      <c r="W46" s="492"/>
      <c r="X46" s="453">
        <v>1550</v>
      </c>
      <c r="Y46" s="453">
        <v>1540</v>
      </c>
      <c r="Z46" s="453"/>
      <c r="AA46" s="453"/>
      <c r="AB46" s="453"/>
      <c r="AC46" s="452"/>
      <c r="AD46" s="452"/>
      <c r="AE46" s="452"/>
      <c r="AF46" s="452"/>
      <c r="AG46" s="452"/>
      <c r="AH46" s="452">
        <v>150.92500000000001</v>
      </c>
      <c r="AI46" s="452">
        <v>150.92500000000001</v>
      </c>
      <c r="AJ46" s="454"/>
      <c r="AK46" s="454">
        <f t="shared" si="19"/>
        <v>0</v>
      </c>
      <c r="AL46" s="454">
        <v>11</v>
      </c>
      <c r="AM46" s="817">
        <v>1538.0350000000001</v>
      </c>
      <c r="AN46" s="817">
        <v>1528.0350000000001</v>
      </c>
      <c r="AO46" s="454"/>
      <c r="AP46" s="454"/>
      <c r="AQ46" s="452"/>
      <c r="AR46" s="452"/>
      <c r="AS46" s="494">
        <v>1538.0350000000001</v>
      </c>
      <c r="AT46" s="820">
        <v>1528.0350000000001</v>
      </c>
      <c r="AU46" s="495"/>
      <c r="AV46" s="495"/>
      <c r="AW46" s="10"/>
      <c r="AX46" s="119"/>
      <c r="BB46" s="119">
        <v>1</v>
      </c>
      <c r="BC46" s="119">
        <v>2</v>
      </c>
    </row>
    <row r="47" spans="1:55" ht="31.5" x14ac:dyDescent="0.25">
      <c r="A47" s="448" t="s">
        <v>781</v>
      </c>
      <c r="B47" s="449" t="s">
        <v>782</v>
      </c>
      <c r="C47" s="450" t="s">
        <v>44</v>
      </c>
      <c r="D47" s="450"/>
      <c r="E47" s="450" t="s">
        <v>46</v>
      </c>
      <c r="F47" s="450" t="s">
        <v>783</v>
      </c>
      <c r="G47" s="817">
        <v>450</v>
      </c>
      <c r="H47" s="817">
        <v>440</v>
      </c>
      <c r="I47" s="492"/>
      <c r="J47" s="492"/>
      <c r="K47" s="492"/>
      <c r="L47" s="492"/>
      <c r="M47" s="492"/>
      <c r="N47" s="492"/>
      <c r="O47" s="492"/>
      <c r="P47" s="492"/>
      <c r="Q47" s="492"/>
      <c r="R47" s="492"/>
      <c r="S47" s="492"/>
      <c r="T47" s="492"/>
      <c r="U47" s="492"/>
      <c r="V47" s="492"/>
      <c r="W47" s="492"/>
      <c r="X47" s="453">
        <v>450</v>
      </c>
      <c r="Y47" s="453">
        <v>440</v>
      </c>
      <c r="Z47" s="453"/>
      <c r="AA47" s="453"/>
      <c r="AB47" s="453"/>
      <c r="AC47" s="452"/>
      <c r="AD47" s="452"/>
      <c r="AE47" s="452"/>
      <c r="AF47" s="452"/>
      <c r="AG47" s="452"/>
      <c r="AH47" s="452">
        <v>30</v>
      </c>
      <c r="AI47" s="452">
        <v>30</v>
      </c>
      <c r="AJ47" s="454"/>
      <c r="AK47" s="454">
        <f t="shared" si="19"/>
        <v>0</v>
      </c>
      <c r="AL47" s="454">
        <f t="shared" si="20"/>
        <v>0</v>
      </c>
      <c r="AM47" s="817">
        <v>450</v>
      </c>
      <c r="AN47" s="817">
        <v>440</v>
      </c>
      <c r="AO47" s="454"/>
      <c r="AP47" s="454"/>
      <c r="AQ47" s="452"/>
      <c r="AR47" s="452"/>
      <c r="AS47" s="494">
        <v>450</v>
      </c>
      <c r="AT47" s="820">
        <v>440</v>
      </c>
      <c r="AU47" s="495"/>
      <c r="AV47" s="495"/>
      <c r="AW47" s="10"/>
      <c r="AX47" s="119"/>
      <c r="BB47" s="119">
        <v>1</v>
      </c>
      <c r="BC47" s="119">
        <v>6</v>
      </c>
    </row>
    <row r="48" spans="1:55" ht="47.25" x14ac:dyDescent="0.25">
      <c r="A48" s="448" t="s">
        <v>784</v>
      </c>
      <c r="B48" s="449" t="s">
        <v>785</v>
      </c>
      <c r="C48" s="450" t="s">
        <v>48</v>
      </c>
      <c r="D48" s="450"/>
      <c r="E48" s="450" t="s">
        <v>46</v>
      </c>
      <c r="F48" s="450" t="s">
        <v>786</v>
      </c>
      <c r="G48" s="817">
        <v>1250</v>
      </c>
      <c r="H48" s="817">
        <v>1240</v>
      </c>
      <c r="I48" s="492"/>
      <c r="J48" s="492"/>
      <c r="K48" s="492"/>
      <c r="L48" s="492"/>
      <c r="M48" s="492"/>
      <c r="N48" s="492"/>
      <c r="O48" s="492"/>
      <c r="P48" s="492"/>
      <c r="Q48" s="492"/>
      <c r="R48" s="492"/>
      <c r="S48" s="492"/>
      <c r="T48" s="492"/>
      <c r="U48" s="492"/>
      <c r="V48" s="492"/>
      <c r="W48" s="492"/>
      <c r="X48" s="453">
        <v>1250</v>
      </c>
      <c r="Y48" s="453">
        <v>1240</v>
      </c>
      <c r="Z48" s="453"/>
      <c r="AA48" s="453"/>
      <c r="AB48" s="453"/>
      <c r="AC48" s="452"/>
      <c r="AD48" s="452"/>
      <c r="AE48" s="452"/>
      <c r="AF48" s="452"/>
      <c r="AG48" s="452"/>
      <c r="AH48" s="452">
        <v>100</v>
      </c>
      <c r="AI48" s="452">
        <v>100</v>
      </c>
      <c r="AJ48" s="454"/>
      <c r="AK48" s="454">
        <f t="shared" si="19"/>
        <v>0</v>
      </c>
      <c r="AL48" s="454">
        <f t="shared" si="20"/>
        <v>0</v>
      </c>
      <c r="AM48" s="817">
        <v>1250</v>
      </c>
      <c r="AN48" s="817">
        <v>1240</v>
      </c>
      <c r="AO48" s="454"/>
      <c r="AP48" s="454"/>
      <c r="AQ48" s="452"/>
      <c r="AR48" s="452"/>
      <c r="AS48" s="494">
        <v>1250</v>
      </c>
      <c r="AT48" s="820">
        <v>1240</v>
      </c>
      <c r="AU48" s="495"/>
      <c r="AV48" s="495"/>
      <c r="AW48" s="10"/>
      <c r="AX48" s="119"/>
      <c r="BB48" s="119">
        <v>1</v>
      </c>
      <c r="BC48" s="119">
        <v>6</v>
      </c>
    </row>
    <row r="49" spans="1:55" ht="31.5" x14ac:dyDescent="0.25">
      <c r="A49" s="448" t="s">
        <v>787</v>
      </c>
      <c r="B49" s="449" t="s">
        <v>788</v>
      </c>
      <c r="C49" s="450" t="s">
        <v>49</v>
      </c>
      <c r="D49" s="450" t="s">
        <v>789</v>
      </c>
      <c r="E49" s="450" t="s">
        <v>46</v>
      </c>
      <c r="F49" s="450" t="s">
        <v>790</v>
      </c>
      <c r="G49" s="817">
        <v>1250</v>
      </c>
      <c r="H49" s="817">
        <v>1239</v>
      </c>
      <c r="I49" s="492"/>
      <c r="J49" s="492"/>
      <c r="K49" s="492"/>
      <c r="L49" s="492"/>
      <c r="M49" s="492"/>
      <c r="N49" s="492"/>
      <c r="O49" s="492"/>
      <c r="P49" s="492"/>
      <c r="Q49" s="492"/>
      <c r="R49" s="492"/>
      <c r="S49" s="492"/>
      <c r="T49" s="492"/>
      <c r="U49" s="492"/>
      <c r="V49" s="492"/>
      <c r="W49" s="492"/>
      <c r="X49" s="453">
        <v>1250</v>
      </c>
      <c r="Y49" s="453">
        <v>1239</v>
      </c>
      <c r="Z49" s="453"/>
      <c r="AA49" s="453"/>
      <c r="AB49" s="453"/>
      <c r="AC49" s="452"/>
      <c r="AD49" s="452"/>
      <c r="AE49" s="452"/>
      <c r="AF49" s="452"/>
      <c r="AG49" s="452"/>
      <c r="AH49" s="452">
        <v>100</v>
      </c>
      <c r="AI49" s="452">
        <v>100</v>
      </c>
      <c r="AJ49" s="454"/>
      <c r="AK49" s="454">
        <f t="shared" si="19"/>
        <v>0</v>
      </c>
      <c r="AL49" s="454">
        <f t="shared" si="20"/>
        <v>0</v>
      </c>
      <c r="AM49" s="817">
        <v>1250</v>
      </c>
      <c r="AN49" s="817">
        <v>1239</v>
      </c>
      <c r="AO49" s="454"/>
      <c r="AP49" s="454"/>
      <c r="AQ49" s="452"/>
      <c r="AR49" s="452"/>
      <c r="AS49" s="494">
        <v>1250</v>
      </c>
      <c r="AT49" s="820">
        <v>1239</v>
      </c>
      <c r="AU49" s="495"/>
      <c r="AV49" s="495"/>
      <c r="AW49" s="10"/>
      <c r="AX49" s="119"/>
      <c r="BB49" s="119">
        <v>1</v>
      </c>
      <c r="BC49" s="119">
        <v>6</v>
      </c>
    </row>
    <row r="50" spans="1:55" ht="47.25" x14ac:dyDescent="0.25">
      <c r="A50" s="448" t="s">
        <v>791</v>
      </c>
      <c r="B50" s="449" t="s">
        <v>792</v>
      </c>
      <c r="C50" s="450" t="s">
        <v>42</v>
      </c>
      <c r="D50" s="450" t="s">
        <v>793</v>
      </c>
      <c r="E50" s="450" t="s">
        <v>46</v>
      </c>
      <c r="F50" s="450" t="s">
        <v>794</v>
      </c>
      <c r="G50" s="817">
        <v>2770</v>
      </c>
      <c r="H50" s="817">
        <v>2760</v>
      </c>
      <c r="I50" s="492"/>
      <c r="J50" s="492"/>
      <c r="K50" s="492"/>
      <c r="L50" s="492"/>
      <c r="M50" s="492"/>
      <c r="N50" s="492"/>
      <c r="O50" s="492"/>
      <c r="P50" s="492"/>
      <c r="Q50" s="492"/>
      <c r="R50" s="492"/>
      <c r="S50" s="492"/>
      <c r="T50" s="492"/>
      <c r="U50" s="492"/>
      <c r="V50" s="492"/>
      <c r="W50" s="492"/>
      <c r="X50" s="453">
        <v>2770</v>
      </c>
      <c r="Y50" s="453">
        <v>2760</v>
      </c>
      <c r="Z50" s="453"/>
      <c r="AA50" s="453"/>
      <c r="AB50" s="453"/>
      <c r="AC50" s="452"/>
      <c r="AD50" s="452"/>
      <c r="AE50" s="452"/>
      <c r="AF50" s="452"/>
      <c r="AG50" s="452"/>
      <c r="AH50" s="452">
        <v>250</v>
      </c>
      <c r="AI50" s="452">
        <v>250</v>
      </c>
      <c r="AJ50" s="454"/>
      <c r="AK50" s="454">
        <f t="shared" si="19"/>
        <v>0</v>
      </c>
      <c r="AL50" s="454">
        <f t="shared" si="20"/>
        <v>0</v>
      </c>
      <c r="AM50" s="817">
        <v>2770</v>
      </c>
      <c r="AN50" s="817">
        <v>2760</v>
      </c>
      <c r="AO50" s="454"/>
      <c r="AP50" s="454"/>
      <c r="AQ50" s="452"/>
      <c r="AR50" s="452"/>
      <c r="AS50" s="494">
        <v>2770</v>
      </c>
      <c r="AT50" s="820">
        <v>2760</v>
      </c>
      <c r="AU50" s="495"/>
      <c r="AV50" s="495"/>
      <c r="AW50" s="10"/>
      <c r="AX50" s="119"/>
      <c r="BB50" s="119">
        <v>1</v>
      </c>
      <c r="BC50" s="119">
        <v>6</v>
      </c>
    </row>
    <row r="51" spans="1:55" ht="31.5" x14ac:dyDescent="0.25">
      <c r="A51" s="448" t="s">
        <v>795</v>
      </c>
      <c r="B51" s="449" t="s">
        <v>796</v>
      </c>
      <c r="C51" s="450" t="s">
        <v>41</v>
      </c>
      <c r="D51" s="450" t="s">
        <v>797</v>
      </c>
      <c r="E51" s="450" t="s">
        <v>46</v>
      </c>
      <c r="F51" s="450"/>
      <c r="G51" s="452"/>
      <c r="H51" s="452"/>
      <c r="I51" s="492"/>
      <c r="J51" s="492"/>
      <c r="K51" s="492"/>
      <c r="L51" s="492"/>
      <c r="M51" s="492"/>
      <c r="N51" s="492"/>
      <c r="O51" s="492"/>
      <c r="P51" s="492"/>
      <c r="Q51" s="492"/>
      <c r="R51" s="492"/>
      <c r="S51" s="492"/>
      <c r="T51" s="492"/>
      <c r="U51" s="492"/>
      <c r="V51" s="492"/>
      <c r="W51" s="492"/>
      <c r="X51" s="453">
        <v>750</v>
      </c>
      <c r="Y51" s="453">
        <v>740</v>
      </c>
      <c r="Z51" s="453"/>
      <c r="AA51" s="453"/>
      <c r="AB51" s="453"/>
      <c r="AC51" s="452"/>
      <c r="AD51" s="452"/>
      <c r="AE51" s="452"/>
      <c r="AF51" s="452"/>
      <c r="AG51" s="452"/>
      <c r="AH51" s="452">
        <v>100</v>
      </c>
      <c r="AI51" s="452">
        <v>100</v>
      </c>
      <c r="AJ51" s="454"/>
      <c r="AK51" s="454">
        <f t="shared" si="19"/>
        <v>0</v>
      </c>
      <c r="AL51" s="454">
        <f t="shared" si="20"/>
        <v>50</v>
      </c>
      <c r="AM51" s="817">
        <v>700</v>
      </c>
      <c r="AN51" s="817">
        <v>690</v>
      </c>
      <c r="AO51" s="454"/>
      <c r="AP51" s="454"/>
      <c r="AQ51" s="452"/>
      <c r="AR51" s="452"/>
      <c r="AS51" s="494">
        <v>700</v>
      </c>
      <c r="AT51" s="820">
        <v>690</v>
      </c>
      <c r="AU51" s="495"/>
      <c r="AV51" s="495"/>
      <c r="AW51" s="147"/>
      <c r="AX51" s="119"/>
      <c r="BB51" s="119">
        <v>1</v>
      </c>
      <c r="BC51" s="119">
        <v>2</v>
      </c>
    </row>
    <row r="52" spans="1:55" ht="31.5" x14ac:dyDescent="0.25">
      <c r="A52" s="448" t="s">
        <v>798</v>
      </c>
      <c r="B52" s="449" t="s">
        <v>799</v>
      </c>
      <c r="C52" s="450" t="s">
        <v>43</v>
      </c>
      <c r="D52" s="450" t="s">
        <v>800</v>
      </c>
      <c r="E52" s="450" t="s">
        <v>46</v>
      </c>
      <c r="F52" s="450"/>
      <c r="G52" s="452"/>
      <c r="H52" s="452"/>
      <c r="I52" s="492"/>
      <c r="J52" s="492"/>
      <c r="K52" s="492"/>
      <c r="L52" s="492"/>
      <c r="M52" s="492"/>
      <c r="N52" s="492"/>
      <c r="O52" s="492"/>
      <c r="P52" s="492"/>
      <c r="Q52" s="492"/>
      <c r="R52" s="492"/>
      <c r="S52" s="492"/>
      <c r="T52" s="492"/>
      <c r="U52" s="492"/>
      <c r="V52" s="492"/>
      <c r="W52" s="492"/>
      <c r="X52" s="453">
        <v>1200</v>
      </c>
      <c r="Y52" s="453">
        <v>1156</v>
      </c>
      <c r="Z52" s="453"/>
      <c r="AA52" s="453"/>
      <c r="AB52" s="453"/>
      <c r="AC52" s="452"/>
      <c r="AD52" s="452"/>
      <c r="AE52" s="452"/>
      <c r="AF52" s="452"/>
      <c r="AG52" s="452"/>
      <c r="AH52" s="452"/>
      <c r="AI52" s="452"/>
      <c r="AJ52" s="454"/>
      <c r="AK52" s="454">
        <f t="shared" si="19"/>
        <v>0</v>
      </c>
      <c r="AL52" s="454">
        <f t="shared" si="20"/>
        <v>0</v>
      </c>
      <c r="AM52" s="817">
        <v>1200</v>
      </c>
      <c r="AN52" s="817">
        <v>1156</v>
      </c>
      <c r="AO52" s="454"/>
      <c r="AP52" s="454"/>
      <c r="AQ52" s="452"/>
      <c r="AR52" s="452"/>
      <c r="AS52" s="494">
        <v>1200</v>
      </c>
      <c r="AT52" s="820">
        <v>1156</v>
      </c>
      <c r="AU52" s="495"/>
      <c r="AV52" s="495"/>
      <c r="AW52" s="147"/>
      <c r="AX52" s="119"/>
      <c r="BB52" s="119">
        <v>1</v>
      </c>
      <c r="BC52" s="119">
        <v>6</v>
      </c>
    </row>
    <row r="53" spans="1:55" ht="47.25" x14ac:dyDescent="0.25">
      <c r="A53" s="448" t="s">
        <v>801</v>
      </c>
      <c r="B53" s="449" t="s">
        <v>802</v>
      </c>
      <c r="C53" s="450" t="s">
        <v>48</v>
      </c>
      <c r="D53" s="450" t="s">
        <v>803</v>
      </c>
      <c r="E53" s="450" t="s">
        <v>50</v>
      </c>
      <c r="F53" s="450"/>
      <c r="G53" s="452"/>
      <c r="H53" s="452"/>
      <c r="I53" s="492"/>
      <c r="J53" s="492"/>
      <c r="K53" s="492"/>
      <c r="L53" s="492"/>
      <c r="M53" s="492"/>
      <c r="N53" s="492"/>
      <c r="O53" s="492"/>
      <c r="P53" s="492"/>
      <c r="Q53" s="492"/>
      <c r="R53" s="492"/>
      <c r="S53" s="492"/>
      <c r="T53" s="492"/>
      <c r="U53" s="492"/>
      <c r="V53" s="492"/>
      <c r="W53" s="492"/>
      <c r="X53" s="453">
        <v>740</v>
      </c>
      <c r="Y53" s="453">
        <v>690</v>
      </c>
      <c r="Z53" s="453"/>
      <c r="AA53" s="453"/>
      <c r="AB53" s="453"/>
      <c r="AC53" s="452"/>
      <c r="AD53" s="452"/>
      <c r="AE53" s="452"/>
      <c r="AF53" s="452"/>
      <c r="AG53" s="452"/>
      <c r="AH53" s="452"/>
      <c r="AI53" s="452"/>
      <c r="AJ53" s="454"/>
      <c r="AK53" s="454">
        <f t="shared" si="19"/>
        <v>0</v>
      </c>
      <c r="AL53" s="454">
        <f t="shared" si="20"/>
        <v>0</v>
      </c>
      <c r="AM53" s="817">
        <v>740</v>
      </c>
      <c r="AN53" s="817">
        <v>690</v>
      </c>
      <c r="AO53" s="454"/>
      <c r="AP53" s="454"/>
      <c r="AQ53" s="452">
        <v>460</v>
      </c>
      <c r="AR53" s="452"/>
      <c r="AS53" s="494">
        <v>740</v>
      </c>
      <c r="AT53" s="821">
        <v>1150</v>
      </c>
      <c r="AU53" s="495"/>
      <c r="AV53" s="495"/>
      <c r="AW53" s="147"/>
      <c r="AX53" s="119"/>
      <c r="BB53" s="119">
        <v>1</v>
      </c>
      <c r="BC53" s="119">
        <v>6</v>
      </c>
    </row>
    <row r="54" spans="1:55" ht="31.5" x14ac:dyDescent="0.25">
      <c r="A54" s="448" t="s">
        <v>804</v>
      </c>
      <c r="B54" s="449" t="s">
        <v>805</v>
      </c>
      <c r="C54" s="450" t="s">
        <v>51</v>
      </c>
      <c r="D54" s="450" t="s">
        <v>803</v>
      </c>
      <c r="E54" s="450" t="s">
        <v>50</v>
      </c>
      <c r="F54" s="450"/>
      <c r="G54" s="452"/>
      <c r="H54" s="452"/>
      <c r="I54" s="492"/>
      <c r="J54" s="492"/>
      <c r="K54" s="492"/>
      <c r="L54" s="492"/>
      <c r="M54" s="492"/>
      <c r="N54" s="492"/>
      <c r="O54" s="492"/>
      <c r="P54" s="492"/>
      <c r="Q54" s="492"/>
      <c r="R54" s="492"/>
      <c r="S54" s="492"/>
      <c r="T54" s="492"/>
      <c r="U54" s="492"/>
      <c r="V54" s="492"/>
      <c r="W54" s="492"/>
      <c r="X54" s="453">
        <v>740</v>
      </c>
      <c r="Y54" s="453">
        <v>690</v>
      </c>
      <c r="Z54" s="453"/>
      <c r="AA54" s="453"/>
      <c r="AB54" s="453"/>
      <c r="AC54" s="452"/>
      <c r="AD54" s="452"/>
      <c r="AE54" s="452"/>
      <c r="AF54" s="452"/>
      <c r="AG54" s="452"/>
      <c r="AH54" s="452"/>
      <c r="AI54" s="452"/>
      <c r="AJ54" s="454"/>
      <c r="AK54" s="454">
        <f t="shared" si="19"/>
        <v>0</v>
      </c>
      <c r="AL54" s="454">
        <f t="shared" si="20"/>
        <v>0</v>
      </c>
      <c r="AM54" s="817">
        <v>740</v>
      </c>
      <c r="AN54" s="817">
        <v>690</v>
      </c>
      <c r="AO54" s="454"/>
      <c r="AP54" s="454"/>
      <c r="AQ54" s="452">
        <v>500</v>
      </c>
      <c r="AR54" s="452"/>
      <c r="AS54" s="494">
        <v>740</v>
      </c>
      <c r="AT54" s="821">
        <v>1190</v>
      </c>
      <c r="AU54" s="495"/>
      <c r="AV54" s="495"/>
      <c r="AW54" s="147"/>
      <c r="AX54" s="119"/>
      <c r="BB54" s="119">
        <v>1</v>
      </c>
      <c r="BC54" s="119">
        <v>6</v>
      </c>
    </row>
    <row r="55" spans="1:55" ht="47.25" x14ac:dyDescent="0.25">
      <c r="A55" s="448" t="s">
        <v>806</v>
      </c>
      <c r="B55" s="449" t="s">
        <v>807</v>
      </c>
      <c r="C55" s="450" t="s">
        <v>42</v>
      </c>
      <c r="D55" s="450" t="s">
        <v>803</v>
      </c>
      <c r="E55" s="450" t="s">
        <v>50</v>
      </c>
      <c r="F55" s="450"/>
      <c r="G55" s="452"/>
      <c r="H55" s="452"/>
      <c r="I55" s="492"/>
      <c r="J55" s="492"/>
      <c r="K55" s="492"/>
      <c r="L55" s="492"/>
      <c r="M55" s="492"/>
      <c r="N55" s="492"/>
      <c r="O55" s="492"/>
      <c r="P55" s="492"/>
      <c r="Q55" s="492"/>
      <c r="R55" s="492"/>
      <c r="S55" s="492"/>
      <c r="T55" s="492"/>
      <c r="U55" s="492"/>
      <c r="V55" s="492"/>
      <c r="W55" s="492"/>
      <c r="X55" s="453">
        <v>740</v>
      </c>
      <c r="Y55" s="453">
        <v>690</v>
      </c>
      <c r="Z55" s="453"/>
      <c r="AA55" s="453"/>
      <c r="AB55" s="453"/>
      <c r="AC55" s="452"/>
      <c r="AD55" s="452"/>
      <c r="AE55" s="452"/>
      <c r="AF55" s="452"/>
      <c r="AG55" s="452"/>
      <c r="AH55" s="452"/>
      <c r="AI55" s="452"/>
      <c r="AJ55" s="454"/>
      <c r="AK55" s="454">
        <f t="shared" si="19"/>
        <v>0</v>
      </c>
      <c r="AL55" s="454">
        <f t="shared" si="20"/>
        <v>0</v>
      </c>
      <c r="AM55" s="817">
        <v>740</v>
      </c>
      <c r="AN55" s="817">
        <v>690</v>
      </c>
      <c r="AO55" s="454"/>
      <c r="AP55" s="454"/>
      <c r="AQ55" s="452">
        <v>1300</v>
      </c>
      <c r="AR55" s="452"/>
      <c r="AS55" s="494">
        <v>740</v>
      </c>
      <c r="AT55" s="821">
        <v>1990</v>
      </c>
      <c r="AU55" s="495"/>
      <c r="AV55" s="495"/>
      <c r="AW55" s="147"/>
      <c r="AX55" s="119"/>
      <c r="BB55" s="119">
        <v>1</v>
      </c>
      <c r="BC55" s="119">
        <v>6</v>
      </c>
    </row>
    <row r="56" spans="1:55" ht="31.5" x14ac:dyDescent="0.25">
      <c r="A56" s="448" t="s">
        <v>808</v>
      </c>
      <c r="B56" s="449" t="s">
        <v>809</v>
      </c>
      <c r="C56" s="450" t="s">
        <v>41</v>
      </c>
      <c r="D56" s="450" t="s">
        <v>810</v>
      </c>
      <c r="E56" s="450" t="s">
        <v>50</v>
      </c>
      <c r="F56" s="450"/>
      <c r="G56" s="452"/>
      <c r="H56" s="452"/>
      <c r="I56" s="492"/>
      <c r="J56" s="492"/>
      <c r="K56" s="492"/>
      <c r="L56" s="492"/>
      <c r="M56" s="492"/>
      <c r="N56" s="492"/>
      <c r="O56" s="492"/>
      <c r="P56" s="492"/>
      <c r="Q56" s="492"/>
      <c r="R56" s="492"/>
      <c r="S56" s="492"/>
      <c r="T56" s="492"/>
      <c r="U56" s="492"/>
      <c r="V56" s="492"/>
      <c r="W56" s="492"/>
      <c r="X56" s="453">
        <v>750</v>
      </c>
      <c r="Y56" s="453">
        <v>740</v>
      </c>
      <c r="Z56" s="453"/>
      <c r="AA56" s="453"/>
      <c r="AB56" s="453"/>
      <c r="AC56" s="452"/>
      <c r="AD56" s="452"/>
      <c r="AE56" s="452"/>
      <c r="AF56" s="452"/>
      <c r="AG56" s="452"/>
      <c r="AH56" s="452"/>
      <c r="AI56" s="452"/>
      <c r="AJ56" s="454"/>
      <c r="AK56" s="454">
        <f t="shared" si="19"/>
        <v>0</v>
      </c>
      <c r="AL56" s="454">
        <f t="shared" si="20"/>
        <v>0</v>
      </c>
      <c r="AM56" s="817">
        <v>750</v>
      </c>
      <c r="AN56" s="817">
        <v>740</v>
      </c>
      <c r="AO56" s="454"/>
      <c r="AP56" s="454"/>
      <c r="AQ56" s="452"/>
      <c r="AR56" s="452"/>
      <c r="AS56" s="494">
        <v>750</v>
      </c>
      <c r="AT56" s="820">
        <v>740</v>
      </c>
      <c r="AU56" s="495"/>
      <c r="AV56" s="495"/>
      <c r="AW56" s="147"/>
      <c r="AX56" s="119"/>
      <c r="BB56" s="119">
        <v>1</v>
      </c>
      <c r="BC56" s="119">
        <v>6</v>
      </c>
    </row>
    <row r="57" spans="1:55" ht="31.5" x14ac:dyDescent="0.25">
      <c r="A57" s="448" t="s">
        <v>811</v>
      </c>
      <c r="B57" s="449" t="s">
        <v>812</v>
      </c>
      <c r="C57" s="450" t="s">
        <v>49</v>
      </c>
      <c r="D57" s="450"/>
      <c r="E57" s="450" t="s">
        <v>50</v>
      </c>
      <c r="F57" s="450"/>
      <c r="G57" s="452"/>
      <c r="H57" s="452"/>
      <c r="I57" s="492"/>
      <c r="J57" s="492"/>
      <c r="K57" s="492"/>
      <c r="L57" s="492"/>
      <c r="M57" s="492"/>
      <c r="N57" s="492"/>
      <c r="O57" s="492"/>
      <c r="P57" s="492"/>
      <c r="Q57" s="492"/>
      <c r="R57" s="492"/>
      <c r="S57" s="492"/>
      <c r="T57" s="492"/>
      <c r="U57" s="492"/>
      <c r="V57" s="492"/>
      <c r="W57" s="492"/>
      <c r="X57" s="453">
        <v>750</v>
      </c>
      <c r="Y57" s="453">
        <v>740</v>
      </c>
      <c r="Z57" s="453"/>
      <c r="AA57" s="453"/>
      <c r="AB57" s="453"/>
      <c r="AC57" s="452"/>
      <c r="AD57" s="452"/>
      <c r="AE57" s="452"/>
      <c r="AF57" s="452"/>
      <c r="AG57" s="452"/>
      <c r="AH57" s="452"/>
      <c r="AI57" s="452"/>
      <c r="AJ57" s="454"/>
      <c r="AK57" s="454">
        <f t="shared" si="19"/>
        <v>0</v>
      </c>
      <c r="AL57" s="454">
        <f t="shared" si="20"/>
        <v>0</v>
      </c>
      <c r="AM57" s="817">
        <v>750</v>
      </c>
      <c r="AN57" s="817">
        <v>740</v>
      </c>
      <c r="AO57" s="454"/>
      <c r="AP57" s="454"/>
      <c r="AQ57" s="452"/>
      <c r="AR57" s="452"/>
      <c r="AS57" s="494">
        <v>750</v>
      </c>
      <c r="AT57" s="820">
        <v>740</v>
      </c>
      <c r="AU57" s="495"/>
      <c r="AV57" s="495"/>
      <c r="AW57" s="147"/>
      <c r="AX57" s="119"/>
      <c r="BB57" s="119">
        <v>1</v>
      </c>
      <c r="BC57" s="119">
        <v>6</v>
      </c>
    </row>
    <row r="58" spans="1:55" ht="31.5" x14ac:dyDescent="0.25">
      <c r="A58" s="448" t="s">
        <v>813</v>
      </c>
      <c r="B58" s="449" t="s">
        <v>814</v>
      </c>
      <c r="C58" s="450" t="s">
        <v>43</v>
      </c>
      <c r="D58" s="450" t="s">
        <v>815</v>
      </c>
      <c r="E58" s="450" t="s">
        <v>50</v>
      </c>
      <c r="F58" s="450"/>
      <c r="G58" s="452"/>
      <c r="H58" s="452"/>
      <c r="I58" s="492"/>
      <c r="J58" s="492"/>
      <c r="K58" s="492"/>
      <c r="L58" s="492"/>
      <c r="M58" s="492"/>
      <c r="N58" s="492"/>
      <c r="O58" s="492"/>
      <c r="P58" s="492"/>
      <c r="Q58" s="492"/>
      <c r="R58" s="492"/>
      <c r="S58" s="492"/>
      <c r="T58" s="492"/>
      <c r="U58" s="492"/>
      <c r="V58" s="492"/>
      <c r="W58" s="492"/>
      <c r="X58" s="453">
        <v>650</v>
      </c>
      <c r="Y58" s="453">
        <v>640</v>
      </c>
      <c r="Z58" s="453"/>
      <c r="AA58" s="453"/>
      <c r="AB58" s="453"/>
      <c r="AC58" s="452"/>
      <c r="AD58" s="452"/>
      <c r="AE58" s="452"/>
      <c r="AF58" s="452"/>
      <c r="AG58" s="452"/>
      <c r="AH58" s="452"/>
      <c r="AI58" s="452"/>
      <c r="AJ58" s="454"/>
      <c r="AK58" s="454">
        <f t="shared" si="19"/>
        <v>0</v>
      </c>
      <c r="AL58" s="454">
        <f t="shared" si="20"/>
        <v>140</v>
      </c>
      <c r="AM58" s="817">
        <v>509</v>
      </c>
      <c r="AN58" s="817">
        <v>500</v>
      </c>
      <c r="AO58" s="454"/>
      <c r="AP58" s="454"/>
      <c r="AQ58" s="452"/>
      <c r="AR58" s="452"/>
      <c r="AS58" s="494">
        <v>510</v>
      </c>
      <c r="AT58" s="820">
        <v>500</v>
      </c>
      <c r="AU58" s="495"/>
      <c r="AV58" s="495"/>
      <c r="AW58" s="147"/>
      <c r="AX58" s="119"/>
      <c r="BB58" s="119">
        <v>1</v>
      </c>
      <c r="BC58" s="119">
        <v>2</v>
      </c>
    </row>
    <row r="59" spans="1:55" ht="47.25" x14ac:dyDescent="0.25">
      <c r="A59" s="448" t="s">
        <v>816</v>
      </c>
      <c r="B59" s="449" t="s">
        <v>817</v>
      </c>
      <c r="C59" s="450" t="s">
        <v>48</v>
      </c>
      <c r="D59" s="450" t="s">
        <v>818</v>
      </c>
      <c r="E59" s="450" t="s">
        <v>50</v>
      </c>
      <c r="F59" s="450"/>
      <c r="G59" s="452"/>
      <c r="H59" s="452"/>
      <c r="I59" s="492"/>
      <c r="J59" s="492"/>
      <c r="K59" s="492"/>
      <c r="L59" s="492"/>
      <c r="M59" s="492"/>
      <c r="N59" s="492"/>
      <c r="O59" s="492"/>
      <c r="P59" s="492"/>
      <c r="Q59" s="492"/>
      <c r="R59" s="492"/>
      <c r="S59" s="492"/>
      <c r="T59" s="492"/>
      <c r="U59" s="492"/>
      <c r="V59" s="492"/>
      <c r="W59" s="492"/>
      <c r="X59" s="453">
        <v>900</v>
      </c>
      <c r="Y59" s="453">
        <v>890</v>
      </c>
      <c r="Z59" s="453"/>
      <c r="AA59" s="453"/>
      <c r="AB59" s="453"/>
      <c r="AC59" s="452"/>
      <c r="AD59" s="452"/>
      <c r="AE59" s="452"/>
      <c r="AF59" s="452"/>
      <c r="AG59" s="452"/>
      <c r="AH59" s="452"/>
      <c r="AI59" s="452"/>
      <c r="AJ59" s="454"/>
      <c r="AK59" s="454">
        <f t="shared" si="19"/>
        <v>0</v>
      </c>
      <c r="AL59" s="454">
        <f t="shared" si="20"/>
        <v>0</v>
      </c>
      <c r="AM59" s="817">
        <v>900</v>
      </c>
      <c r="AN59" s="817">
        <v>890</v>
      </c>
      <c r="AO59" s="454"/>
      <c r="AP59" s="454"/>
      <c r="AQ59" s="452">
        <v>1600</v>
      </c>
      <c r="AR59" s="452"/>
      <c r="AS59" s="494">
        <v>900</v>
      </c>
      <c r="AT59" s="821">
        <v>2490</v>
      </c>
      <c r="AU59" s="495"/>
      <c r="AV59" s="495"/>
      <c r="AW59" s="147"/>
      <c r="AX59" s="119"/>
      <c r="BB59" s="119">
        <v>1</v>
      </c>
      <c r="BC59" s="119">
        <v>6</v>
      </c>
    </row>
    <row r="60" spans="1:55" ht="47.25" x14ac:dyDescent="0.25">
      <c r="A60" s="448" t="s">
        <v>819</v>
      </c>
      <c r="B60" s="449" t="s">
        <v>820</v>
      </c>
      <c r="C60" s="450" t="s">
        <v>48</v>
      </c>
      <c r="D60" s="450"/>
      <c r="E60" s="450" t="s">
        <v>50</v>
      </c>
      <c r="F60" s="450"/>
      <c r="G60" s="452"/>
      <c r="H60" s="452"/>
      <c r="I60" s="492"/>
      <c r="J60" s="492"/>
      <c r="K60" s="492"/>
      <c r="L60" s="492"/>
      <c r="M60" s="492"/>
      <c r="N60" s="492"/>
      <c r="O60" s="492"/>
      <c r="P60" s="492"/>
      <c r="Q60" s="492"/>
      <c r="R60" s="492"/>
      <c r="S60" s="492"/>
      <c r="T60" s="492"/>
      <c r="U60" s="492"/>
      <c r="V60" s="492"/>
      <c r="W60" s="492"/>
      <c r="X60" s="453">
        <v>650</v>
      </c>
      <c r="Y60" s="453">
        <v>640</v>
      </c>
      <c r="Z60" s="453"/>
      <c r="AA60" s="453"/>
      <c r="AB60" s="453"/>
      <c r="AC60" s="452"/>
      <c r="AD60" s="452"/>
      <c r="AE60" s="452"/>
      <c r="AF60" s="452"/>
      <c r="AG60" s="452"/>
      <c r="AH60" s="452"/>
      <c r="AI60" s="452"/>
      <c r="AJ60" s="454"/>
      <c r="AK60" s="454">
        <f t="shared" si="19"/>
        <v>0</v>
      </c>
      <c r="AL60" s="454">
        <f t="shared" si="20"/>
        <v>0</v>
      </c>
      <c r="AM60" s="817">
        <v>650</v>
      </c>
      <c r="AN60" s="817">
        <v>640</v>
      </c>
      <c r="AO60" s="454"/>
      <c r="AP60" s="454"/>
      <c r="AQ60" s="452"/>
      <c r="AR60" s="452"/>
      <c r="AS60" s="494">
        <v>650</v>
      </c>
      <c r="AT60" s="820">
        <v>640</v>
      </c>
      <c r="AU60" s="495"/>
      <c r="AV60" s="495"/>
      <c r="AW60" s="147"/>
      <c r="AX60" s="119"/>
      <c r="BB60" s="119">
        <v>1</v>
      </c>
      <c r="BC60" s="119">
        <v>6</v>
      </c>
    </row>
    <row r="61" spans="1:55" ht="31.5" x14ac:dyDescent="0.25">
      <c r="A61" s="448" t="s">
        <v>821</v>
      </c>
      <c r="B61" s="449" t="s">
        <v>822</v>
      </c>
      <c r="C61" s="450" t="s">
        <v>47</v>
      </c>
      <c r="D61" s="450"/>
      <c r="E61" s="450" t="s">
        <v>50</v>
      </c>
      <c r="F61" s="450"/>
      <c r="G61" s="452"/>
      <c r="H61" s="452"/>
      <c r="I61" s="492"/>
      <c r="J61" s="492"/>
      <c r="K61" s="492"/>
      <c r="L61" s="492"/>
      <c r="M61" s="492"/>
      <c r="N61" s="492"/>
      <c r="O61" s="492"/>
      <c r="P61" s="492"/>
      <c r="Q61" s="492"/>
      <c r="R61" s="492"/>
      <c r="S61" s="492"/>
      <c r="T61" s="492"/>
      <c r="U61" s="492"/>
      <c r="V61" s="492"/>
      <c r="W61" s="492"/>
      <c r="X61" s="453">
        <v>650</v>
      </c>
      <c r="Y61" s="453">
        <v>640</v>
      </c>
      <c r="Z61" s="453"/>
      <c r="AA61" s="453"/>
      <c r="AB61" s="453"/>
      <c r="AC61" s="452"/>
      <c r="AD61" s="452"/>
      <c r="AE61" s="452"/>
      <c r="AF61" s="452"/>
      <c r="AG61" s="452"/>
      <c r="AH61" s="452"/>
      <c r="AI61" s="452"/>
      <c r="AJ61" s="454"/>
      <c r="AK61" s="454">
        <f t="shared" si="19"/>
        <v>0</v>
      </c>
      <c r="AL61" s="454">
        <f t="shared" si="20"/>
        <v>0</v>
      </c>
      <c r="AM61" s="817">
        <v>650</v>
      </c>
      <c r="AN61" s="817">
        <v>640</v>
      </c>
      <c r="AO61" s="454"/>
      <c r="AP61" s="454"/>
      <c r="AQ61" s="452"/>
      <c r="AR61" s="452"/>
      <c r="AS61" s="494">
        <v>650</v>
      </c>
      <c r="AT61" s="820">
        <v>640</v>
      </c>
      <c r="AU61" s="495"/>
      <c r="AV61" s="495"/>
      <c r="AW61" s="147"/>
      <c r="AX61" s="119"/>
      <c r="BB61" s="119">
        <v>1</v>
      </c>
      <c r="BC61" s="119">
        <v>6</v>
      </c>
    </row>
    <row r="62" spans="1:55" ht="31.5" x14ac:dyDescent="0.25">
      <c r="A62" s="448" t="s">
        <v>823</v>
      </c>
      <c r="B62" s="449" t="s">
        <v>824</v>
      </c>
      <c r="C62" s="450" t="s">
        <v>43</v>
      </c>
      <c r="D62" s="450"/>
      <c r="E62" s="450" t="s">
        <v>50</v>
      </c>
      <c r="F62" s="450"/>
      <c r="G62" s="452"/>
      <c r="H62" s="452"/>
      <c r="I62" s="492"/>
      <c r="J62" s="492"/>
      <c r="K62" s="492"/>
      <c r="L62" s="492"/>
      <c r="M62" s="492"/>
      <c r="N62" s="492"/>
      <c r="O62" s="492"/>
      <c r="P62" s="492"/>
      <c r="Q62" s="492"/>
      <c r="R62" s="492"/>
      <c r="S62" s="492"/>
      <c r="T62" s="492"/>
      <c r="U62" s="492"/>
      <c r="V62" s="492"/>
      <c r="W62" s="492"/>
      <c r="X62" s="453">
        <v>1600</v>
      </c>
      <c r="Y62" s="453">
        <v>1590</v>
      </c>
      <c r="Z62" s="453"/>
      <c r="AA62" s="453"/>
      <c r="AB62" s="453"/>
      <c r="AC62" s="452"/>
      <c r="AD62" s="452"/>
      <c r="AE62" s="452"/>
      <c r="AF62" s="452"/>
      <c r="AG62" s="452"/>
      <c r="AH62" s="452"/>
      <c r="AI62" s="452"/>
      <c r="AJ62" s="454"/>
      <c r="AK62" s="454">
        <f t="shared" si="19"/>
        <v>0</v>
      </c>
      <c r="AL62" s="454">
        <f t="shared" si="20"/>
        <v>0</v>
      </c>
      <c r="AM62" s="817">
        <v>1600</v>
      </c>
      <c r="AN62" s="817">
        <v>1590</v>
      </c>
      <c r="AO62" s="454"/>
      <c r="AP62" s="454"/>
      <c r="AQ62" s="452"/>
      <c r="AR62" s="452"/>
      <c r="AS62" s="494">
        <v>1600</v>
      </c>
      <c r="AT62" s="820">
        <v>1590</v>
      </c>
      <c r="AU62" s="495"/>
      <c r="AV62" s="495"/>
      <c r="AW62" s="147"/>
      <c r="AX62" s="119"/>
      <c r="BB62" s="119">
        <v>1</v>
      </c>
      <c r="BC62" s="119">
        <v>6</v>
      </c>
    </row>
    <row r="63" spans="1:55" ht="31.5" x14ac:dyDescent="0.25">
      <c r="A63" s="448" t="s">
        <v>825</v>
      </c>
      <c r="B63" s="449" t="s">
        <v>826</v>
      </c>
      <c r="C63" s="450" t="s">
        <v>44</v>
      </c>
      <c r="D63" s="450"/>
      <c r="E63" s="450" t="s">
        <v>50</v>
      </c>
      <c r="F63" s="450"/>
      <c r="G63" s="452"/>
      <c r="H63" s="452"/>
      <c r="I63" s="492"/>
      <c r="J63" s="492"/>
      <c r="K63" s="492"/>
      <c r="L63" s="492"/>
      <c r="M63" s="492"/>
      <c r="N63" s="492"/>
      <c r="O63" s="492"/>
      <c r="P63" s="492"/>
      <c r="Q63" s="492"/>
      <c r="R63" s="492"/>
      <c r="S63" s="492"/>
      <c r="T63" s="492"/>
      <c r="U63" s="492"/>
      <c r="V63" s="492"/>
      <c r="W63" s="492"/>
      <c r="X63" s="453">
        <v>1835</v>
      </c>
      <c r="Y63" s="453">
        <v>1815</v>
      </c>
      <c r="Z63" s="453"/>
      <c r="AA63" s="453"/>
      <c r="AB63" s="453"/>
      <c r="AC63" s="452"/>
      <c r="AD63" s="452"/>
      <c r="AE63" s="452"/>
      <c r="AF63" s="452"/>
      <c r="AG63" s="452"/>
      <c r="AH63" s="452"/>
      <c r="AI63" s="452"/>
      <c r="AJ63" s="454"/>
      <c r="AK63" s="454">
        <f t="shared" si="19"/>
        <v>0</v>
      </c>
      <c r="AL63" s="454">
        <f t="shared" si="20"/>
        <v>0</v>
      </c>
      <c r="AM63" s="817">
        <v>1835</v>
      </c>
      <c r="AN63" s="817">
        <v>1815</v>
      </c>
      <c r="AO63" s="454"/>
      <c r="AP63" s="454"/>
      <c r="AQ63" s="452"/>
      <c r="AR63" s="452"/>
      <c r="AS63" s="494">
        <v>1835</v>
      </c>
      <c r="AT63" s="820">
        <v>1815</v>
      </c>
      <c r="AU63" s="495"/>
      <c r="AV63" s="495"/>
      <c r="AW63" s="147"/>
      <c r="AX63" s="119"/>
      <c r="BB63" s="119">
        <v>1</v>
      </c>
      <c r="BC63" s="119">
        <v>6</v>
      </c>
    </row>
    <row r="64" spans="1:55" ht="47.25" x14ac:dyDescent="0.25">
      <c r="A64" s="448" t="s">
        <v>827</v>
      </c>
      <c r="B64" s="449" t="s">
        <v>828</v>
      </c>
      <c r="C64" s="450" t="s">
        <v>42</v>
      </c>
      <c r="D64" s="450"/>
      <c r="E64" s="450" t="s">
        <v>50</v>
      </c>
      <c r="F64" s="450"/>
      <c r="G64" s="452"/>
      <c r="H64" s="452"/>
      <c r="I64" s="492"/>
      <c r="J64" s="492"/>
      <c r="K64" s="492"/>
      <c r="L64" s="492"/>
      <c r="M64" s="492"/>
      <c r="N64" s="492"/>
      <c r="O64" s="492"/>
      <c r="P64" s="492"/>
      <c r="Q64" s="492"/>
      <c r="R64" s="492"/>
      <c r="S64" s="492"/>
      <c r="T64" s="492"/>
      <c r="U64" s="492"/>
      <c r="V64" s="492"/>
      <c r="W64" s="492"/>
      <c r="X64" s="453">
        <v>720</v>
      </c>
      <c r="Y64" s="453">
        <v>700</v>
      </c>
      <c r="Z64" s="453"/>
      <c r="AA64" s="453"/>
      <c r="AB64" s="453"/>
      <c r="AC64" s="452"/>
      <c r="AD64" s="452"/>
      <c r="AE64" s="452"/>
      <c r="AF64" s="452"/>
      <c r="AG64" s="452"/>
      <c r="AH64" s="452"/>
      <c r="AI64" s="452"/>
      <c r="AJ64" s="454"/>
      <c r="AK64" s="454">
        <f t="shared" si="19"/>
        <v>0</v>
      </c>
      <c r="AL64" s="454">
        <f t="shared" si="20"/>
        <v>0</v>
      </c>
      <c r="AM64" s="817">
        <v>720</v>
      </c>
      <c r="AN64" s="817">
        <v>700</v>
      </c>
      <c r="AO64" s="454"/>
      <c r="AP64" s="454"/>
      <c r="AQ64" s="452">
        <v>746</v>
      </c>
      <c r="AR64" s="452"/>
      <c r="AS64" s="494">
        <v>720</v>
      </c>
      <c r="AT64" s="821">
        <v>1446</v>
      </c>
      <c r="AU64" s="495"/>
      <c r="AV64" s="495"/>
      <c r="AW64" s="147"/>
      <c r="AX64" s="119"/>
      <c r="BB64" s="119">
        <v>1</v>
      </c>
      <c r="BC64" s="119">
        <v>6</v>
      </c>
    </row>
    <row r="65" spans="1:55" ht="31.5" x14ac:dyDescent="0.25">
      <c r="A65" s="448" t="s">
        <v>829</v>
      </c>
      <c r="B65" s="449" t="s">
        <v>830</v>
      </c>
      <c r="C65" s="450" t="s">
        <v>51</v>
      </c>
      <c r="D65" s="450"/>
      <c r="E65" s="450" t="s">
        <v>50</v>
      </c>
      <c r="F65" s="450"/>
      <c r="G65" s="452"/>
      <c r="H65" s="452"/>
      <c r="I65" s="492"/>
      <c r="J65" s="492"/>
      <c r="K65" s="492"/>
      <c r="L65" s="492"/>
      <c r="M65" s="492"/>
      <c r="N65" s="492"/>
      <c r="O65" s="492"/>
      <c r="P65" s="492"/>
      <c r="Q65" s="492"/>
      <c r="R65" s="492"/>
      <c r="S65" s="492"/>
      <c r="T65" s="492"/>
      <c r="U65" s="492"/>
      <c r="V65" s="492"/>
      <c r="W65" s="492"/>
      <c r="X65" s="453">
        <v>520</v>
      </c>
      <c r="Y65" s="453">
        <v>500</v>
      </c>
      <c r="Z65" s="453"/>
      <c r="AA65" s="453"/>
      <c r="AB65" s="453"/>
      <c r="AC65" s="452"/>
      <c r="AD65" s="452"/>
      <c r="AE65" s="452"/>
      <c r="AF65" s="452"/>
      <c r="AG65" s="452"/>
      <c r="AH65" s="452"/>
      <c r="AI65" s="452"/>
      <c r="AJ65" s="454"/>
      <c r="AK65" s="454">
        <f t="shared" si="19"/>
        <v>0</v>
      </c>
      <c r="AL65" s="454">
        <f t="shared" si="20"/>
        <v>358</v>
      </c>
      <c r="AM65" s="817">
        <v>162</v>
      </c>
      <c r="AN65" s="817">
        <v>142</v>
      </c>
      <c r="AO65" s="454"/>
      <c r="AP65" s="454"/>
      <c r="AQ65" s="452"/>
      <c r="AR65" s="452"/>
      <c r="AS65" s="494">
        <v>162</v>
      </c>
      <c r="AT65" s="820">
        <v>142</v>
      </c>
      <c r="AU65" s="495"/>
      <c r="AV65" s="495"/>
      <c r="AW65" s="147"/>
      <c r="AX65" s="119"/>
      <c r="BB65" s="119">
        <v>1</v>
      </c>
      <c r="BC65" s="119">
        <v>2</v>
      </c>
    </row>
    <row r="66" spans="1:55" ht="31.5" x14ac:dyDescent="0.25">
      <c r="A66" s="448" t="s">
        <v>831</v>
      </c>
      <c r="B66" s="449" t="s">
        <v>832</v>
      </c>
      <c r="C66" s="450" t="s">
        <v>751</v>
      </c>
      <c r="D66" s="450"/>
      <c r="E66" s="450" t="s">
        <v>50</v>
      </c>
      <c r="F66" s="450"/>
      <c r="G66" s="452"/>
      <c r="H66" s="452"/>
      <c r="I66" s="492"/>
      <c r="J66" s="492"/>
      <c r="K66" s="492"/>
      <c r="L66" s="492"/>
      <c r="M66" s="492"/>
      <c r="N66" s="492"/>
      <c r="O66" s="492"/>
      <c r="P66" s="492"/>
      <c r="Q66" s="492"/>
      <c r="R66" s="492"/>
      <c r="S66" s="492"/>
      <c r="T66" s="492"/>
      <c r="U66" s="492"/>
      <c r="V66" s="492"/>
      <c r="W66" s="492"/>
      <c r="X66" s="453">
        <v>1200</v>
      </c>
      <c r="Y66" s="453">
        <v>1150</v>
      </c>
      <c r="Z66" s="453"/>
      <c r="AA66" s="453"/>
      <c r="AB66" s="453"/>
      <c r="AC66" s="452"/>
      <c r="AD66" s="452"/>
      <c r="AE66" s="452"/>
      <c r="AF66" s="452"/>
      <c r="AG66" s="452"/>
      <c r="AH66" s="452"/>
      <c r="AI66" s="452"/>
      <c r="AJ66" s="454"/>
      <c r="AK66" s="454">
        <f t="shared" si="19"/>
        <v>0</v>
      </c>
      <c r="AL66" s="454">
        <f t="shared" si="20"/>
        <v>112</v>
      </c>
      <c r="AM66" s="817">
        <v>1088</v>
      </c>
      <c r="AN66" s="817">
        <v>1038</v>
      </c>
      <c r="AO66" s="454"/>
      <c r="AP66" s="454"/>
      <c r="AQ66" s="452"/>
      <c r="AR66" s="452"/>
      <c r="AS66" s="494">
        <v>1089</v>
      </c>
      <c r="AT66" s="820">
        <v>1039</v>
      </c>
      <c r="AU66" s="495"/>
      <c r="AV66" s="495"/>
      <c r="AW66" s="147"/>
      <c r="AX66" s="119"/>
      <c r="BB66" s="119">
        <v>1</v>
      </c>
      <c r="BC66" s="119">
        <v>2</v>
      </c>
    </row>
    <row r="67" spans="1:55" ht="31.5" x14ac:dyDescent="0.25">
      <c r="A67" s="448" t="s">
        <v>833</v>
      </c>
      <c r="B67" s="449" t="s">
        <v>834</v>
      </c>
      <c r="C67" s="450" t="s">
        <v>47</v>
      </c>
      <c r="D67" s="450"/>
      <c r="E67" s="450" t="s">
        <v>50</v>
      </c>
      <c r="F67" s="450"/>
      <c r="G67" s="452"/>
      <c r="H67" s="452"/>
      <c r="I67" s="492"/>
      <c r="J67" s="492"/>
      <c r="K67" s="492"/>
      <c r="L67" s="492"/>
      <c r="M67" s="492"/>
      <c r="N67" s="492"/>
      <c r="O67" s="492"/>
      <c r="P67" s="492"/>
      <c r="Q67" s="492"/>
      <c r="R67" s="492"/>
      <c r="S67" s="492"/>
      <c r="T67" s="492"/>
      <c r="U67" s="492"/>
      <c r="V67" s="492"/>
      <c r="W67" s="492"/>
      <c r="X67" s="453">
        <v>520</v>
      </c>
      <c r="Y67" s="453">
        <v>500</v>
      </c>
      <c r="Z67" s="453"/>
      <c r="AA67" s="453"/>
      <c r="AB67" s="453"/>
      <c r="AC67" s="452"/>
      <c r="AD67" s="452"/>
      <c r="AE67" s="452"/>
      <c r="AF67" s="452"/>
      <c r="AG67" s="452"/>
      <c r="AH67" s="452"/>
      <c r="AI67" s="452"/>
      <c r="AJ67" s="454"/>
      <c r="AK67" s="454">
        <f t="shared" si="19"/>
        <v>0</v>
      </c>
      <c r="AL67" s="454">
        <f t="shared" si="20"/>
        <v>0</v>
      </c>
      <c r="AM67" s="817">
        <v>520</v>
      </c>
      <c r="AN67" s="817">
        <v>500</v>
      </c>
      <c r="AO67" s="454"/>
      <c r="AP67" s="454"/>
      <c r="AQ67" s="452"/>
      <c r="AR67" s="452"/>
      <c r="AS67" s="494">
        <v>520</v>
      </c>
      <c r="AT67" s="820">
        <v>500</v>
      </c>
      <c r="AU67" s="495"/>
      <c r="AV67" s="495"/>
      <c r="AW67" s="147"/>
      <c r="AX67" s="119"/>
      <c r="BB67" s="119">
        <v>1</v>
      </c>
      <c r="BC67" s="119">
        <v>6</v>
      </c>
    </row>
    <row r="68" spans="1:55" ht="31.5" x14ac:dyDescent="0.25">
      <c r="A68" s="448" t="s">
        <v>835</v>
      </c>
      <c r="B68" s="449" t="s">
        <v>836</v>
      </c>
      <c r="C68" s="450" t="s">
        <v>47</v>
      </c>
      <c r="D68" s="450"/>
      <c r="E68" s="450" t="s">
        <v>50</v>
      </c>
      <c r="F68" s="450"/>
      <c r="G68" s="452"/>
      <c r="H68" s="452"/>
      <c r="I68" s="492"/>
      <c r="J68" s="492"/>
      <c r="K68" s="492"/>
      <c r="L68" s="492"/>
      <c r="M68" s="492"/>
      <c r="N68" s="492"/>
      <c r="O68" s="492"/>
      <c r="P68" s="492"/>
      <c r="Q68" s="492"/>
      <c r="R68" s="492"/>
      <c r="S68" s="492"/>
      <c r="T68" s="492"/>
      <c r="U68" s="492"/>
      <c r="V68" s="492"/>
      <c r="W68" s="492"/>
      <c r="X68" s="453">
        <v>520</v>
      </c>
      <c r="Y68" s="453">
        <v>500</v>
      </c>
      <c r="Z68" s="453"/>
      <c r="AA68" s="453"/>
      <c r="AB68" s="453"/>
      <c r="AC68" s="452"/>
      <c r="AD68" s="452"/>
      <c r="AE68" s="452"/>
      <c r="AF68" s="452"/>
      <c r="AG68" s="452"/>
      <c r="AH68" s="452"/>
      <c r="AI68" s="452"/>
      <c r="AJ68" s="454"/>
      <c r="AK68" s="454">
        <f t="shared" si="19"/>
        <v>0</v>
      </c>
      <c r="AL68" s="454">
        <f t="shared" si="20"/>
        <v>0</v>
      </c>
      <c r="AM68" s="817">
        <v>520</v>
      </c>
      <c r="AN68" s="817">
        <v>500</v>
      </c>
      <c r="AO68" s="454"/>
      <c r="AP68" s="454"/>
      <c r="AQ68" s="452"/>
      <c r="AR68" s="452"/>
      <c r="AS68" s="494">
        <v>520</v>
      </c>
      <c r="AT68" s="820">
        <v>500</v>
      </c>
      <c r="AU68" s="495"/>
      <c r="AV68" s="495"/>
      <c r="AW68" s="147"/>
      <c r="AX68" s="119"/>
      <c r="BB68" s="119">
        <v>1</v>
      </c>
      <c r="BC68" s="119">
        <v>6</v>
      </c>
    </row>
    <row r="69" spans="1:55" ht="31.5" x14ac:dyDescent="0.25">
      <c r="A69" s="448" t="s">
        <v>837</v>
      </c>
      <c r="B69" s="449" t="s">
        <v>838</v>
      </c>
      <c r="C69" s="450" t="s">
        <v>41</v>
      </c>
      <c r="D69" s="450"/>
      <c r="E69" s="450" t="s">
        <v>50</v>
      </c>
      <c r="F69" s="450"/>
      <c r="G69" s="452"/>
      <c r="H69" s="452"/>
      <c r="I69" s="492"/>
      <c r="J69" s="492"/>
      <c r="K69" s="492"/>
      <c r="L69" s="492"/>
      <c r="M69" s="492"/>
      <c r="N69" s="492"/>
      <c r="O69" s="492"/>
      <c r="P69" s="492"/>
      <c r="Q69" s="492"/>
      <c r="R69" s="492"/>
      <c r="S69" s="492"/>
      <c r="T69" s="492"/>
      <c r="U69" s="492"/>
      <c r="V69" s="492"/>
      <c r="W69" s="492"/>
      <c r="X69" s="453">
        <v>520</v>
      </c>
      <c r="Y69" s="453">
        <v>500</v>
      </c>
      <c r="Z69" s="453"/>
      <c r="AA69" s="453"/>
      <c r="AB69" s="453"/>
      <c r="AC69" s="452"/>
      <c r="AD69" s="452"/>
      <c r="AE69" s="452"/>
      <c r="AF69" s="452"/>
      <c r="AG69" s="452"/>
      <c r="AH69" s="452"/>
      <c r="AI69" s="452"/>
      <c r="AJ69" s="454"/>
      <c r="AK69" s="454">
        <f t="shared" si="19"/>
        <v>0</v>
      </c>
      <c r="AL69" s="454">
        <f t="shared" si="20"/>
        <v>0</v>
      </c>
      <c r="AM69" s="817">
        <v>520</v>
      </c>
      <c r="AN69" s="817">
        <v>500</v>
      </c>
      <c r="AO69" s="454"/>
      <c r="AP69" s="454"/>
      <c r="AQ69" s="452"/>
      <c r="AR69" s="452"/>
      <c r="AS69" s="494">
        <v>520</v>
      </c>
      <c r="AT69" s="820">
        <v>500</v>
      </c>
      <c r="AU69" s="495"/>
      <c r="AV69" s="495"/>
      <c r="AW69" s="147"/>
      <c r="AX69" s="119"/>
      <c r="BB69" s="119">
        <v>1</v>
      </c>
      <c r="BC69" s="119">
        <v>6</v>
      </c>
    </row>
    <row r="70" spans="1:55" ht="31.5" x14ac:dyDescent="0.25">
      <c r="A70" s="448" t="s">
        <v>839</v>
      </c>
      <c r="B70" s="449" t="s">
        <v>840</v>
      </c>
      <c r="C70" s="450" t="s">
        <v>51</v>
      </c>
      <c r="D70" s="450"/>
      <c r="E70" s="450" t="s">
        <v>50</v>
      </c>
      <c r="F70" s="450"/>
      <c r="G70" s="452"/>
      <c r="H70" s="452"/>
      <c r="I70" s="492"/>
      <c r="J70" s="492"/>
      <c r="K70" s="492"/>
      <c r="L70" s="492"/>
      <c r="M70" s="492"/>
      <c r="N70" s="492"/>
      <c r="O70" s="492"/>
      <c r="P70" s="492"/>
      <c r="Q70" s="492"/>
      <c r="R70" s="492"/>
      <c r="S70" s="492"/>
      <c r="T70" s="492"/>
      <c r="U70" s="492"/>
      <c r="V70" s="492"/>
      <c r="W70" s="492"/>
      <c r="X70" s="453">
        <v>520</v>
      </c>
      <c r="Y70" s="453">
        <v>500</v>
      </c>
      <c r="Z70" s="453"/>
      <c r="AA70" s="453"/>
      <c r="AB70" s="453"/>
      <c r="AC70" s="452"/>
      <c r="AD70" s="452"/>
      <c r="AE70" s="452"/>
      <c r="AF70" s="452"/>
      <c r="AG70" s="452"/>
      <c r="AH70" s="452"/>
      <c r="AI70" s="452"/>
      <c r="AJ70" s="454"/>
      <c r="AK70" s="454">
        <f t="shared" si="19"/>
        <v>0</v>
      </c>
      <c r="AL70" s="454">
        <f t="shared" si="20"/>
        <v>0</v>
      </c>
      <c r="AM70" s="817">
        <v>520</v>
      </c>
      <c r="AN70" s="817">
        <v>500</v>
      </c>
      <c r="AO70" s="454"/>
      <c r="AP70" s="454"/>
      <c r="AQ70" s="452"/>
      <c r="AR70" s="452"/>
      <c r="AS70" s="494">
        <v>520</v>
      </c>
      <c r="AT70" s="820">
        <v>500</v>
      </c>
      <c r="AU70" s="495"/>
      <c r="AV70" s="495"/>
      <c r="AW70" s="147"/>
      <c r="AX70" s="119"/>
      <c r="BB70" s="119">
        <v>1</v>
      </c>
      <c r="BC70" s="119">
        <v>6</v>
      </c>
    </row>
    <row r="71" spans="1:55" ht="31.5" x14ac:dyDescent="0.25">
      <c r="A71" s="448" t="s">
        <v>841</v>
      </c>
      <c r="B71" s="449" t="s">
        <v>842</v>
      </c>
      <c r="C71" s="450" t="s">
        <v>51</v>
      </c>
      <c r="D71" s="450"/>
      <c r="E71" s="450" t="s">
        <v>50</v>
      </c>
      <c r="F71" s="450"/>
      <c r="G71" s="452"/>
      <c r="H71" s="452"/>
      <c r="I71" s="492"/>
      <c r="J71" s="492"/>
      <c r="K71" s="492"/>
      <c r="L71" s="492"/>
      <c r="M71" s="492"/>
      <c r="N71" s="492"/>
      <c r="O71" s="492"/>
      <c r="P71" s="492"/>
      <c r="Q71" s="492"/>
      <c r="R71" s="492"/>
      <c r="S71" s="492"/>
      <c r="T71" s="492"/>
      <c r="U71" s="492"/>
      <c r="V71" s="492"/>
      <c r="W71" s="492"/>
      <c r="X71" s="453">
        <v>520</v>
      </c>
      <c r="Y71" s="453">
        <v>500</v>
      </c>
      <c r="Z71" s="453"/>
      <c r="AA71" s="453"/>
      <c r="AB71" s="453"/>
      <c r="AC71" s="452"/>
      <c r="AD71" s="452"/>
      <c r="AE71" s="452"/>
      <c r="AF71" s="452"/>
      <c r="AG71" s="452"/>
      <c r="AH71" s="452"/>
      <c r="AI71" s="452"/>
      <c r="AJ71" s="454"/>
      <c r="AK71" s="454">
        <f t="shared" si="19"/>
        <v>0</v>
      </c>
      <c r="AL71" s="454">
        <f t="shared" si="20"/>
        <v>0</v>
      </c>
      <c r="AM71" s="817">
        <v>520</v>
      </c>
      <c r="AN71" s="817">
        <v>500</v>
      </c>
      <c r="AO71" s="454"/>
      <c r="AP71" s="454"/>
      <c r="AQ71" s="452"/>
      <c r="AR71" s="452"/>
      <c r="AS71" s="494">
        <v>520</v>
      </c>
      <c r="AT71" s="820">
        <v>500</v>
      </c>
      <c r="AU71" s="495"/>
      <c r="AV71" s="495"/>
      <c r="AW71" s="147"/>
      <c r="AX71" s="119"/>
      <c r="BB71" s="119">
        <v>1</v>
      </c>
      <c r="BC71" s="119">
        <v>6</v>
      </c>
    </row>
    <row r="72" spans="1:55" ht="31.5" x14ac:dyDescent="0.25">
      <c r="A72" s="448" t="s">
        <v>843</v>
      </c>
      <c r="B72" s="449" t="s">
        <v>844</v>
      </c>
      <c r="C72" s="450" t="s">
        <v>44</v>
      </c>
      <c r="D72" s="450"/>
      <c r="E72" s="450" t="s">
        <v>50</v>
      </c>
      <c r="F72" s="450"/>
      <c r="G72" s="452"/>
      <c r="H72" s="452"/>
      <c r="I72" s="492"/>
      <c r="J72" s="492"/>
      <c r="K72" s="492"/>
      <c r="L72" s="492"/>
      <c r="M72" s="492"/>
      <c r="N72" s="492"/>
      <c r="O72" s="492"/>
      <c r="P72" s="492"/>
      <c r="Q72" s="492"/>
      <c r="R72" s="492"/>
      <c r="S72" s="492"/>
      <c r="T72" s="492"/>
      <c r="U72" s="492"/>
      <c r="V72" s="492"/>
      <c r="W72" s="492"/>
      <c r="X72" s="453">
        <v>520</v>
      </c>
      <c r="Y72" s="453">
        <v>500</v>
      </c>
      <c r="Z72" s="453"/>
      <c r="AA72" s="453"/>
      <c r="AB72" s="453"/>
      <c r="AC72" s="452"/>
      <c r="AD72" s="452"/>
      <c r="AE72" s="452"/>
      <c r="AF72" s="452"/>
      <c r="AG72" s="452"/>
      <c r="AH72" s="452"/>
      <c r="AI72" s="452"/>
      <c r="AJ72" s="454"/>
      <c r="AK72" s="454">
        <f t="shared" si="19"/>
        <v>0</v>
      </c>
      <c r="AL72" s="454">
        <f t="shared" si="20"/>
        <v>0</v>
      </c>
      <c r="AM72" s="817">
        <v>520</v>
      </c>
      <c r="AN72" s="817">
        <v>500</v>
      </c>
      <c r="AO72" s="454"/>
      <c r="AP72" s="454"/>
      <c r="AQ72" s="452"/>
      <c r="AR72" s="452"/>
      <c r="AS72" s="494">
        <v>520</v>
      </c>
      <c r="AT72" s="820">
        <v>500</v>
      </c>
      <c r="AU72" s="495"/>
      <c r="AV72" s="495"/>
      <c r="AW72" s="147"/>
      <c r="AX72" s="119"/>
      <c r="BB72" s="119">
        <v>1</v>
      </c>
      <c r="BC72" s="119">
        <v>6</v>
      </c>
    </row>
    <row r="73" spans="1:55" ht="47.25" x14ac:dyDescent="0.25">
      <c r="A73" s="448" t="s">
        <v>845</v>
      </c>
      <c r="B73" s="449" t="s">
        <v>846</v>
      </c>
      <c r="C73" s="450" t="s">
        <v>42</v>
      </c>
      <c r="D73" s="450"/>
      <c r="E73" s="450" t="s">
        <v>50</v>
      </c>
      <c r="F73" s="450"/>
      <c r="G73" s="452"/>
      <c r="H73" s="452"/>
      <c r="I73" s="492"/>
      <c r="J73" s="492"/>
      <c r="K73" s="492"/>
      <c r="L73" s="492"/>
      <c r="M73" s="492"/>
      <c r="N73" s="492"/>
      <c r="O73" s="492"/>
      <c r="P73" s="492"/>
      <c r="Q73" s="492"/>
      <c r="R73" s="492"/>
      <c r="S73" s="492"/>
      <c r="T73" s="492"/>
      <c r="U73" s="492"/>
      <c r="V73" s="492"/>
      <c r="W73" s="492"/>
      <c r="X73" s="453">
        <v>520</v>
      </c>
      <c r="Y73" s="453">
        <v>500</v>
      </c>
      <c r="Z73" s="453"/>
      <c r="AA73" s="453"/>
      <c r="AB73" s="453"/>
      <c r="AC73" s="452"/>
      <c r="AD73" s="452"/>
      <c r="AE73" s="452"/>
      <c r="AF73" s="452"/>
      <c r="AG73" s="452"/>
      <c r="AH73" s="452"/>
      <c r="AI73" s="452"/>
      <c r="AJ73" s="454"/>
      <c r="AK73" s="454">
        <f t="shared" si="19"/>
        <v>0</v>
      </c>
      <c r="AL73" s="454">
        <f t="shared" si="20"/>
        <v>0</v>
      </c>
      <c r="AM73" s="817">
        <v>520</v>
      </c>
      <c r="AN73" s="817">
        <v>500</v>
      </c>
      <c r="AO73" s="454"/>
      <c r="AP73" s="454"/>
      <c r="AQ73" s="452"/>
      <c r="AR73" s="452"/>
      <c r="AS73" s="494">
        <v>520</v>
      </c>
      <c r="AT73" s="820">
        <v>500</v>
      </c>
      <c r="AU73" s="495"/>
      <c r="AV73" s="495"/>
      <c r="AW73" s="147"/>
      <c r="AX73" s="119"/>
      <c r="BB73" s="119">
        <v>1</v>
      </c>
      <c r="BC73" s="119">
        <v>6</v>
      </c>
    </row>
    <row r="74" spans="1:55" ht="31.5" x14ac:dyDescent="0.25">
      <c r="A74" s="448" t="s">
        <v>847</v>
      </c>
      <c r="B74" s="449" t="s">
        <v>848</v>
      </c>
      <c r="C74" s="450" t="s">
        <v>51</v>
      </c>
      <c r="D74" s="450"/>
      <c r="E74" s="450" t="s">
        <v>50</v>
      </c>
      <c r="F74" s="450"/>
      <c r="G74" s="452"/>
      <c r="H74" s="452"/>
      <c r="I74" s="492"/>
      <c r="J74" s="492"/>
      <c r="K74" s="492"/>
      <c r="L74" s="492"/>
      <c r="M74" s="492"/>
      <c r="N74" s="492"/>
      <c r="O74" s="492"/>
      <c r="P74" s="492"/>
      <c r="Q74" s="492"/>
      <c r="R74" s="492"/>
      <c r="S74" s="492"/>
      <c r="T74" s="492"/>
      <c r="U74" s="492"/>
      <c r="V74" s="492"/>
      <c r="W74" s="492"/>
      <c r="X74" s="453">
        <v>1210</v>
      </c>
      <c r="Y74" s="453">
        <v>1190</v>
      </c>
      <c r="Z74" s="453"/>
      <c r="AA74" s="453"/>
      <c r="AB74" s="453"/>
      <c r="AC74" s="452"/>
      <c r="AD74" s="452"/>
      <c r="AE74" s="452"/>
      <c r="AF74" s="452"/>
      <c r="AG74" s="452"/>
      <c r="AH74" s="452"/>
      <c r="AI74" s="452"/>
      <c r="AJ74" s="454"/>
      <c r="AK74" s="454">
        <f t="shared" si="19"/>
        <v>0</v>
      </c>
      <c r="AL74" s="454">
        <f t="shared" si="20"/>
        <v>55</v>
      </c>
      <c r="AM74" s="817">
        <v>1155</v>
      </c>
      <c r="AN74" s="817">
        <v>1135</v>
      </c>
      <c r="AO74" s="454"/>
      <c r="AP74" s="454"/>
      <c r="AQ74" s="452"/>
      <c r="AR74" s="452"/>
      <c r="AS74" s="494">
        <v>1155</v>
      </c>
      <c r="AT74" s="820">
        <v>1135</v>
      </c>
      <c r="AU74" s="495"/>
      <c r="AV74" s="495"/>
      <c r="AW74" s="147"/>
      <c r="AX74" s="119"/>
      <c r="BB74" s="119">
        <v>1</v>
      </c>
      <c r="BC74" s="119">
        <v>2</v>
      </c>
    </row>
    <row r="75" spans="1:55" ht="47.25" x14ac:dyDescent="0.25">
      <c r="A75" s="448" t="s">
        <v>849</v>
      </c>
      <c r="B75" s="449" t="s">
        <v>850</v>
      </c>
      <c r="C75" s="450" t="s">
        <v>42</v>
      </c>
      <c r="D75" s="450"/>
      <c r="E75" s="450" t="s">
        <v>50</v>
      </c>
      <c r="F75" s="450"/>
      <c r="G75" s="452"/>
      <c r="H75" s="452"/>
      <c r="I75" s="492"/>
      <c r="J75" s="492"/>
      <c r="K75" s="492"/>
      <c r="L75" s="492"/>
      <c r="M75" s="492"/>
      <c r="N75" s="492"/>
      <c r="O75" s="492"/>
      <c r="P75" s="492"/>
      <c r="Q75" s="492"/>
      <c r="R75" s="492"/>
      <c r="S75" s="492"/>
      <c r="T75" s="492"/>
      <c r="U75" s="492"/>
      <c r="V75" s="492"/>
      <c r="W75" s="492"/>
      <c r="X75" s="453">
        <v>550</v>
      </c>
      <c r="Y75" s="453">
        <v>540</v>
      </c>
      <c r="Z75" s="453"/>
      <c r="AA75" s="453"/>
      <c r="AB75" s="453"/>
      <c r="AC75" s="452"/>
      <c r="AD75" s="452"/>
      <c r="AE75" s="452"/>
      <c r="AF75" s="452"/>
      <c r="AG75" s="452"/>
      <c r="AH75" s="452"/>
      <c r="AI75" s="452"/>
      <c r="AJ75" s="454"/>
      <c r="AK75" s="454">
        <f t="shared" si="19"/>
        <v>0</v>
      </c>
      <c r="AL75" s="454">
        <f t="shared" si="20"/>
        <v>0</v>
      </c>
      <c r="AM75" s="817">
        <v>550</v>
      </c>
      <c r="AN75" s="817">
        <v>540</v>
      </c>
      <c r="AO75" s="454"/>
      <c r="AP75" s="454"/>
      <c r="AQ75" s="452"/>
      <c r="AR75" s="452"/>
      <c r="AS75" s="494">
        <v>550</v>
      </c>
      <c r="AT75" s="820">
        <v>540</v>
      </c>
      <c r="AU75" s="495"/>
      <c r="AV75" s="495"/>
      <c r="AW75" s="147"/>
      <c r="AX75" s="119"/>
      <c r="BB75" s="119">
        <v>1</v>
      </c>
      <c r="BC75" s="119">
        <v>6</v>
      </c>
    </row>
    <row r="76" spans="1:55" ht="31.5" x14ac:dyDescent="0.25">
      <c r="A76" s="448" t="s">
        <v>851</v>
      </c>
      <c r="B76" s="449" t="s">
        <v>852</v>
      </c>
      <c r="C76" s="450" t="s">
        <v>41</v>
      </c>
      <c r="D76" s="450"/>
      <c r="E76" s="450" t="s">
        <v>50</v>
      </c>
      <c r="F76" s="450"/>
      <c r="G76" s="452"/>
      <c r="H76" s="452"/>
      <c r="I76" s="492"/>
      <c r="J76" s="492"/>
      <c r="K76" s="492"/>
      <c r="L76" s="492"/>
      <c r="M76" s="492"/>
      <c r="N76" s="492"/>
      <c r="O76" s="492"/>
      <c r="P76" s="492"/>
      <c r="Q76" s="492"/>
      <c r="R76" s="492"/>
      <c r="S76" s="492"/>
      <c r="T76" s="492"/>
      <c r="U76" s="492"/>
      <c r="V76" s="492"/>
      <c r="W76" s="492"/>
      <c r="X76" s="453">
        <v>550</v>
      </c>
      <c r="Y76" s="453">
        <v>540</v>
      </c>
      <c r="Z76" s="453"/>
      <c r="AA76" s="453"/>
      <c r="AB76" s="453"/>
      <c r="AC76" s="452"/>
      <c r="AD76" s="452"/>
      <c r="AE76" s="452"/>
      <c r="AF76" s="452"/>
      <c r="AG76" s="452"/>
      <c r="AH76" s="452"/>
      <c r="AI76" s="452"/>
      <c r="AJ76" s="454"/>
      <c r="AK76" s="454">
        <f t="shared" si="19"/>
        <v>0</v>
      </c>
      <c r="AL76" s="454">
        <f t="shared" si="20"/>
        <v>0</v>
      </c>
      <c r="AM76" s="817">
        <v>550</v>
      </c>
      <c r="AN76" s="817">
        <v>540</v>
      </c>
      <c r="AO76" s="454"/>
      <c r="AP76" s="454"/>
      <c r="AQ76" s="452"/>
      <c r="AR76" s="452">
        <v>540</v>
      </c>
      <c r="AS76" s="494">
        <v>0</v>
      </c>
      <c r="AT76" s="820">
        <v>0</v>
      </c>
      <c r="AU76" s="495"/>
      <c r="AV76" s="495"/>
      <c r="AW76" s="147"/>
      <c r="AX76" s="119"/>
      <c r="BB76" s="119">
        <v>1</v>
      </c>
      <c r="BC76" s="119">
        <v>6</v>
      </c>
    </row>
    <row r="77" spans="1:55" ht="47.25" x14ac:dyDescent="0.25">
      <c r="A77" s="448" t="s">
        <v>853</v>
      </c>
      <c r="B77" s="449" t="s">
        <v>854</v>
      </c>
      <c r="C77" s="450" t="s">
        <v>48</v>
      </c>
      <c r="D77" s="450"/>
      <c r="E77" s="450" t="s">
        <v>50</v>
      </c>
      <c r="F77" s="450"/>
      <c r="G77" s="452"/>
      <c r="H77" s="452"/>
      <c r="I77" s="492"/>
      <c r="J77" s="492"/>
      <c r="K77" s="492"/>
      <c r="L77" s="492"/>
      <c r="M77" s="492"/>
      <c r="N77" s="492"/>
      <c r="O77" s="492"/>
      <c r="P77" s="492"/>
      <c r="Q77" s="492"/>
      <c r="R77" s="492"/>
      <c r="S77" s="492"/>
      <c r="T77" s="492"/>
      <c r="U77" s="492"/>
      <c r="V77" s="492"/>
      <c r="W77" s="492"/>
      <c r="X77" s="453">
        <v>550</v>
      </c>
      <c r="Y77" s="453">
        <v>540</v>
      </c>
      <c r="Z77" s="453"/>
      <c r="AA77" s="453"/>
      <c r="AB77" s="453"/>
      <c r="AC77" s="452"/>
      <c r="AD77" s="452"/>
      <c r="AE77" s="452"/>
      <c r="AF77" s="452"/>
      <c r="AG77" s="452"/>
      <c r="AH77" s="452"/>
      <c r="AI77" s="452"/>
      <c r="AJ77" s="454"/>
      <c r="AK77" s="454">
        <f t="shared" si="19"/>
        <v>0</v>
      </c>
      <c r="AL77" s="454">
        <f t="shared" si="20"/>
        <v>0</v>
      </c>
      <c r="AM77" s="817">
        <v>550</v>
      </c>
      <c r="AN77" s="817">
        <v>540</v>
      </c>
      <c r="AO77" s="454"/>
      <c r="AP77" s="454"/>
      <c r="AQ77" s="452"/>
      <c r="AR77" s="452">
        <v>540</v>
      </c>
      <c r="AS77" s="494">
        <v>0</v>
      </c>
      <c r="AT77" s="820">
        <v>0</v>
      </c>
      <c r="AU77" s="495"/>
      <c r="AV77" s="495"/>
      <c r="AW77" s="147"/>
      <c r="AX77" s="119"/>
      <c r="BB77" s="119">
        <v>1</v>
      </c>
      <c r="BC77" s="119">
        <v>6</v>
      </c>
    </row>
    <row r="78" spans="1:55" ht="31.5" x14ac:dyDescent="0.25">
      <c r="A78" s="448" t="s">
        <v>855</v>
      </c>
      <c r="B78" s="449" t="s">
        <v>856</v>
      </c>
      <c r="C78" s="450" t="s">
        <v>41</v>
      </c>
      <c r="D78" s="450"/>
      <c r="E78" s="450" t="s">
        <v>50</v>
      </c>
      <c r="F78" s="450"/>
      <c r="G78" s="452"/>
      <c r="H78" s="452"/>
      <c r="I78" s="492"/>
      <c r="J78" s="492"/>
      <c r="K78" s="492"/>
      <c r="L78" s="492"/>
      <c r="M78" s="492"/>
      <c r="N78" s="492"/>
      <c r="O78" s="492"/>
      <c r="P78" s="492"/>
      <c r="Q78" s="492"/>
      <c r="R78" s="492"/>
      <c r="S78" s="492"/>
      <c r="T78" s="492"/>
      <c r="U78" s="492"/>
      <c r="V78" s="492"/>
      <c r="W78" s="492"/>
      <c r="X78" s="453">
        <v>550</v>
      </c>
      <c r="Y78" s="453">
        <v>540</v>
      </c>
      <c r="Z78" s="453"/>
      <c r="AA78" s="453"/>
      <c r="AB78" s="453"/>
      <c r="AC78" s="452"/>
      <c r="AD78" s="452"/>
      <c r="AE78" s="452"/>
      <c r="AF78" s="452"/>
      <c r="AG78" s="452"/>
      <c r="AH78" s="452"/>
      <c r="AI78" s="452"/>
      <c r="AJ78" s="454"/>
      <c r="AK78" s="454">
        <f t="shared" si="19"/>
        <v>0</v>
      </c>
      <c r="AL78" s="454">
        <f t="shared" si="20"/>
        <v>0</v>
      </c>
      <c r="AM78" s="817">
        <v>550</v>
      </c>
      <c r="AN78" s="817">
        <v>540</v>
      </c>
      <c r="AO78" s="454"/>
      <c r="AP78" s="454"/>
      <c r="AQ78" s="452"/>
      <c r="AR78" s="452"/>
      <c r="AS78" s="494">
        <v>550</v>
      </c>
      <c r="AT78" s="820">
        <v>540</v>
      </c>
      <c r="AU78" s="495"/>
      <c r="AV78" s="495"/>
      <c r="AW78" s="147"/>
      <c r="AX78" s="119"/>
      <c r="BB78" s="119">
        <v>1</v>
      </c>
      <c r="BC78" s="119">
        <v>6</v>
      </c>
    </row>
    <row r="79" spans="1:55" ht="31.5" x14ac:dyDescent="0.25">
      <c r="A79" s="448" t="s">
        <v>857</v>
      </c>
      <c r="B79" s="449" t="s">
        <v>858</v>
      </c>
      <c r="C79" s="450" t="s">
        <v>41</v>
      </c>
      <c r="D79" s="450"/>
      <c r="E79" s="450" t="s">
        <v>50</v>
      </c>
      <c r="F79" s="450"/>
      <c r="G79" s="452"/>
      <c r="H79" s="452"/>
      <c r="I79" s="492"/>
      <c r="J79" s="492"/>
      <c r="K79" s="492"/>
      <c r="L79" s="492"/>
      <c r="M79" s="492"/>
      <c r="N79" s="492"/>
      <c r="O79" s="492"/>
      <c r="P79" s="492"/>
      <c r="Q79" s="492"/>
      <c r="R79" s="492"/>
      <c r="S79" s="492"/>
      <c r="T79" s="492"/>
      <c r="U79" s="492"/>
      <c r="V79" s="492"/>
      <c r="W79" s="492"/>
      <c r="X79" s="453">
        <v>450</v>
      </c>
      <c r="Y79" s="453">
        <v>440</v>
      </c>
      <c r="Z79" s="453"/>
      <c r="AA79" s="453"/>
      <c r="AB79" s="453"/>
      <c r="AC79" s="452"/>
      <c r="AD79" s="452"/>
      <c r="AE79" s="452"/>
      <c r="AF79" s="452"/>
      <c r="AG79" s="452"/>
      <c r="AH79" s="452"/>
      <c r="AI79" s="452"/>
      <c r="AJ79" s="454"/>
      <c r="AK79" s="454">
        <f t="shared" si="19"/>
        <v>0</v>
      </c>
      <c r="AL79" s="454">
        <f t="shared" si="20"/>
        <v>0</v>
      </c>
      <c r="AM79" s="817">
        <v>450</v>
      </c>
      <c r="AN79" s="817">
        <v>440</v>
      </c>
      <c r="AO79" s="454"/>
      <c r="AP79" s="454"/>
      <c r="AQ79" s="452"/>
      <c r="AR79" s="452"/>
      <c r="AS79" s="494">
        <v>450</v>
      </c>
      <c r="AT79" s="820">
        <v>440</v>
      </c>
      <c r="AU79" s="495"/>
      <c r="AV79" s="495"/>
      <c r="AW79" s="147"/>
      <c r="AX79" s="119"/>
      <c r="BB79" s="119">
        <v>1</v>
      </c>
      <c r="BC79" s="119">
        <v>6</v>
      </c>
    </row>
    <row r="80" spans="1:55" ht="47.25" x14ac:dyDescent="0.25">
      <c r="A80" s="448" t="s">
        <v>859</v>
      </c>
      <c r="B80" s="449" t="s">
        <v>860</v>
      </c>
      <c r="C80" s="450" t="s">
        <v>42</v>
      </c>
      <c r="D80" s="450"/>
      <c r="E80" s="450" t="s">
        <v>50</v>
      </c>
      <c r="F80" s="450"/>
      <c r="G80" s="452"/>
      <c r="H80" s="452"/>
      <c r="I80" s="492"/>
      <c r="J80" s="492"/>
      <c r="K80" s="492"/>
      <c r="L80" s="492"/>
      <c r="M80" s="492"/>
      <c r="N80" s="492"/>
      <c r="O80" s="492"/>
      <c r="P80" s="492"/>
      <c r="Q80" s="492"/>
      <c r="R80" s="492"/>
      <c r="S80" s="492"/>
      <c r="T80" s="492"/>
      <c r="U80" s="492"/>
      <c r="V80" s="492"/>
      <c r="W80" s="492"/>
      <c r="X80" s="453">
        <v>2000</v>
      </c>
      <c r="Y80" s="453">
        <v>1950</v>
      </c>
      <c r="Z80" s="453"/>
      <c r="AA80" s="453"/>
      <c r="AB80" s="453"/>
      <c r="AC80" s="452"/>
      <c r="AD80" s="452"/>
      <c r="AE80" s="452"/>
      <c r="AF80" s="452"/>
      <c r="AG80" s="452"/>
      <c r="AH80" s="452"/>
      <c r="AI80" s="452"/>
      <c r="AJ80" s="454"/>
      <c r="AK80" s="454">
        <f t="shared" si="19"/>
        <v>0</v>
      </c>
      <c r="AL80" s="454">
        <f t="shared" si="20"/>
        <v>180</v>
      </c>
      <c r="AM80" s="454">
        <v>1820</v>
      </c>
      <c r="AN80" s="454">
        <v>1770</v>
      </c>
      <c r="AO80" s="454"/>
      <c r="AP80" s="454"/>
      <c r="AQ80" s="452"/>
      <c r="AR80" s="452"/>
      <c r="AS80" s="494">
        <v>1820</v>
      </c>
      <c r="AT80" s="494">
        <v>1770</v>
      </c>
      <c r="AU80" s="495"/>
      <c r="AV80" s="495"/>
      <c r="AW80" s="147"/>
      <c r="AX80" s="119"/>
      <c r="BB80" s="119">
        <v>1</v>
      </c>
      <c r="BC80" s="119">
        <v>2</v>
      </c>
    </row>
    <row r="81" spans="1:55" ht="31.5" x14ac:dyDescent="0.25">
      <c r="A81" s="448" t="s">
        <v>861</v>
      </c>
      <c r="B81" s="449" t="s">
        <v>862</v>
      </c>
      <c r="C81" s="450" t="s">
        <v>44</v>
      </c>
      <c r="D81" s="450"/>
      <c r="E81" s="450" t="s">
        <v>50</v>
      </c>
      <c r="F81" s="450"/>
      <c r="G81" s="452"/>
      <c r="H81" s="452"/>
      <c r="I81" s="492"/>
      <c r="J81" s="492"/>
      <c r="K81" s="492"/>
      <c r="L81" s="492"/>
      <c r="M81" s="492"/>
      <c r="N81" s="492"/>
      <c r="O81" s="492"/>
      <c r="P81" s="492"/>
      <c r="Q81" s="492"/>
      <c r="R81" s="492"/>
      <c r="S81" s="492"/>
      <c r="T81" s="492"/>
      <c r="U81" s="492"/>
      <c r="V81" s="492"/>
      <c r="W81" s="492"/>
      <c r="X81" s="453">
        <v>2600</v>
      </c>
      <c r="Y81" s="453">
        <v>2580</v>
      </c>
      <c r="Z81" s="453"/>
      <c r="AA81" s="453"/>
      <c r="AB81" s="453"/>
      <c r="AC81" s="452"/>
      <c r="AD81" s="452"/>
      <c r="AE81" s="452"/>
      <c r="AF81" s="452"/>
      <c r="AG81" s="452"/>
      <c r="AH81" s="452"/>
      <c r="AI81" s="452"/>
      <c r="AJ81" s="454"/>
      <c r="AK81" s="454">
        <f t="shared" si="19"/>
        <v>0</v>
      </c>
      <c r="AL81" s="454">
        <f t="shared" si="20"/>
        <v>0</v>
      </c>
      <c r="AM81" s="817">
        <v>2600</v>
      </c>
      <c r="AN81" s="817">
        <v>2580</v>
      </c>
      <c r="AO81" s="454"/>
      <c r="AP81" s="454"/>
      <c r="AQ81" s="452"/>
      <c r="AR81" s="452"/>
      <c r="AS81" s="494">
        <v>2600</v>
      </c>
      <c r="AT81" s="820">
        <v>2580</v>
      </c>
      <c r="AU81" s="495"/>
      <c r="AV81" s="495"/>
      <c r="AW81" s="147"/>
      <c r="AX81" s="119"/>
      <c r="BB81" s="119">
        <v>1</v>
      </c>
      <c r="BC81" s="119">
        <v>6</v>
      </c>
    </row>
    <row r="82" spans="1:55" ht="47.25" x14ac:dyDescent="0.25">
      <c r="A82" s="448" t="s">
        <v>863</v>
      </c>
      <c r="B82" s="449" t="s">
        <v>864</v>
      </c>
      <c r="C82" s="450" t="s">
        <v>42</v>
      </c>
      <c r="D82" s="450" t="s">
        <v>865</v>
      </c>
      <c r="E82" s="450" t="s">
        <v>50</v>
      </c>
      <c r="F82" s="450"/>
      <c r="G82" s="452"/>
      <c r="H82" s="452"/>
      <c r="I82" s="492"/>
      <c r="J82" s="492"/>
      <c r="K82" s="492"/>
      <c r="L82" s="492"/>
      <c r="M82" s="492"/>
      <c r="N82" s="492"/>
      <c r="O82" s="492"/>
      <c r="P82" s="492"/>
      <c r="Q82" s="492"/>
      <c r="R82" s="492"/>
      <c r="S82" s="492"/>
      <c r="T82" s="492"/>
      <c r="U82" s="492"/>
      <c r="V82" s="492"/>
      <c r="W82" s="492"/>
      <c r="X82" s="453">
        <v>2600</v>
      </c>
      <c r="Y82" s="453">
        <v>2580</v>
      </c>
      <c r="Z82" s="453"/>
      <c r="AA82" s="453"/>
      <c r="AB82" s="453"/>
      <c r="AC82" s="452"/>
      <c r="AD82" s="452"/>
      <c r="AE82" s="452"/>
      <c r="AF82" s="452"/>
      <c r="AG82" s="452"/>
      <c r="AH82" s="452"/>
      <c r="AI82" s="452"/>
      <c r="AJ82" s="454"/>
      <c r="AK82" s="454">
        <f t="shared" si="19"/>
        <v>0</v>
      </c>
      <c r="AL82" s="454">
        <f t="shared" si="20"/>
        <v>0</v>
      </c>
      <c r="AM82" s="817">
        <v>2600</v>
      </c>
      <c r="AN82" s="817">
        <v>2580</v>
      </c>
      <c r="AO82" s="454"/>
      <c r="AP82" s="454"/>
      <c r="AQ82" s="452"/>
      <c r="AR82" s="452"/>
      <c r="AS82" s="494">
        <v>2600</v>
      </c>
      <c r="AT82" s="820">
        <v>2580</v>
      </c>
      <c r="AU82" s="495"/>
      <c r="AV82" s="495"/>
      <c r="AW82" s="147"/>
      <c r="AX82" s="119"/>
      <c r="BB82" s="119">
        <v>1</v>
      </c>
      <c r="BC82" s="119">
        <v>6</v>
      </c>
    </row>
    <row r="83" spans="1:55" ht="47.25" x14ac:dyDescent="0.25">
      <c r="A83" s="448" t="s">
        <v>866</v>
      </c>
      <c r="B83" s="449" t="s">
        <v>867</v>
      </c>
      <c r="C83" s="450" t="s">
        <v>42</v>
      </c>
      <c r="D83" s="450"/>
      <c r="E83" s="450" t="s">
        <v>50</v>
      </c>
      <c r="F83" s="450"/>
      <c r="G83" s="452"/>
      <c r="H83" s="452"/>
      <c r="I83" s="492"/>
      <c r="J83" s="492"/>
      <c r="K83" s="492"/>
      <c r="L83" s="492"/>
      <c r="M83" s="492"/>
      <c r="N83" s="492"/>
      <c r="O83" s="492"/>
      <c r="P83" s="492"/>
      <c r="Q83" s="492"/>
      <c r="R83" s="492"/>
      <c r="S83" s="492"/>
      <c r="T83" s="492"/>
      <c r="U83" s="492"/>
      <c r="V83" s="492"/>
      <c r="W83" s="492"/>
      <c r="X83" s="453">
        <v>3000</v>
      </c>
      <c r="Y83" s="453">
        <v>2950</v>
      </c>
      <c r="Z83" s="453"/>
      <c r="AA83" s="453"/>
      <c r="AB83" s="453"/>
      <c r="AC83" s="452"/>
      <c r="AD83" s="452"/>
      <c r="AE83" s="452"/>
      <c r="AF83" s="452"/>
      <c r="AG83" s="452"/>
      <c r="AH83" s="452"/>
      <c r="AI83" s="452"/>
      <c r="AJ83" s="454"/>
      <c r="AK83" s="454">
        <f t="shared" si="19"/>
        <v>0</v>
      </c>
      <c r="AL83" s="454">
        <f t="shared" si="20"/>
        <v>0</v>
      </c>
      <c r="AM83" s="817">
        <v>3000</v>
      </c>
      <c r="AN83" s="817">
        <v>2950</v>
      </c>
      <c r="AO83" s="454"/>
      <c r="AP83" s="454"/>
      <c r="AQ83" s="452"/>
      <c r="AR83" s="452"/>
      <c r="AS83" s="494">
        <v>3000</v>
      </c>
      <c r="AT83" s="820">
        <v>2950</v>
      </c>
      <c r="AU83" s="495"/>
      <c r="AV83" s="495"/>
      <c r="AW83" s="147"/>
      <c r="AX83" s="119"/>
      <c r="BB83" s="119">
        <v>1</v>
      </c>
      <c r="BC83" s="119">
        <v>6</v>
      </c>
    </row>
    <row r="84" spans="1:55" ht="31.5" x14ac:dyDescent="0.25">
      <c r="A84" s="448" t="s">
        <v>868</v>
      </c>
      <c r="B84" s="449" t="s">
        <v>869</v>
      </c>
      <c r="C84" s="450" t="s">
        <v>51</v>
      </c>
      <c r="D84" s="450" t="s">
        <v>870</v>
      </c>
      <c r="E84" s="450" t="s">
        <v>50</v>
      </c>
      <c r="F84" s="450"/>
      <c r="G84" s="452"/>
      <c r="H84" s="452"/>
      <c r="I84" s="492"/>
      <c r="J84" s="492"/>
      <c r="K84" s="492"/>
      <c r="L84" s="492"/>
      <c r="M84" s="492"/>
      <c r="N84" s="492"/>
      <c r="O84" s="492"/>
      <c r="P84" s="492"/>
      <c r="Q84" s="492"/>
      <c r="R84" s="492"/>
      <c r="S84" s="492"/>
      <c r="T84" s="492"/>
      <c r="U84" s="492"/>
      <c r="V84" s="492"/>
      <c r="W84" s="492"/>
      <c r="X84" s="453">
        <v>1300</v>
      </c>
      <c r="Y84" s="453">
        <v>1250</v>
      </c>
      <c r="Z84" s="453"/>
      <c r="AA84" s="453"/>
      <c r="AB84" s="453"/>
      <c r="AC84" s="452"/>
      <c r="AD84" s="452"/>
      <c r="AE84" s="452"/>
      <c r="AF84" s="452"/>
      <c r="AG84" s="452"/>
      <c r="AH84" s="452"/>
      <c r="AI84" s="452"/>
      <c r="AJ84" s="454"/>
      <c r="AK84" s="454">
        <f t="shared" si="19"/>
        <v>0</v>
      </c>
      <c r="AL84" s="454">
        <f t="shared" si="20"/>
        <v>0</v>
      </c>
      <c r="AM84" s="817">
        <v>1300</v>
      </c>
      <c r="AN84" s="817">
        <v>1250</v>
      </c>
      <c r="AO84" s="454"/>
      <c r="AP84" s="454"/>
      <c r="AQ84" s="452"/>
      <c r="AR84" s="452"/>
      <c r="AS84" s="494">
        <v>1300</v>
      </c>
      <c r="AT84" s="820">
        <v>1250</v>
      </c>
      <c r="AU84" s="495"/>
      <c r="AV84" s="495"/>
      <c r="AW84" s="147"/>
      <c r="AX84" s="119"/>
      <c r="BB84" s="119">
        <v>1</v>
      </c>
      <c r="BC84" s="119">
        <v>6</v>
      </c>
    </row>
    <row r="85" spans="1:55" ht="47.25" x14ac:dyDescent="0.25">
      <c r="A85" s="448" t="s">
        <v>871</v>
      </c>
      <c r="B85" s="449" t="s">
        <v>872</v>
      </c>
      <c r="C85" s="450" t="s">
        <v>51</v>
      </c>
      <c r="D85" s="450" t="s">
        <v>873</v>
      </c>
      <c r="E85" s="450" t="s">
        <v>50</v>
      </c>
      <c r="F85" s="450"/>
      <c r="G85" s="452"/>
      <c r="H85" s="452"/>
      <c r="I85" s="492"/>
      <c r="J85" s="492"/>
      <c r="K85" s="492"/>
      <c r="L85" s="492"/>
      <c r="M85" s="492"/>
      <c r="N85" s="492"/>
      <c r="O85" s="492"/>
      <c r="P85" s="492"/>
      <c r="Q85" s="492"/>
      <c r="R85" s="492"/>
      <c r="S85" s="492"/>
      <c r="T85" s="492"/>
      <c r="U85" s="492"/>
      <c r="V85" s="492"/>
      <c r="W85" s="492"/>
      <c r="X85" s="453">
        <v>3500</v>
      </c>
      <c r="Y85" s="453">
        <v>3390</v>
      </c>
      <c r="Z85" s="453"/>
      <c r="AA85" s="453"/>
      <c r="AB85" s="453"/>
      <c r="AC85" s="452"/>
      <c r="AD85" s="452"/>
      <c r="AE85" s="452"/>
      <c r="AF85" s="452"/>
      <c r="AG85" s="452"/>
      <c r="AH85" s="452"/>
      <c r="AI85" s="452"/>
      <c r="AJ85" s="454"/>
      <c r="AK85" s="454">
        <f t="shared" si="19"/>
        <v>0</v>
      </c>
      <c r="AL85" s="454">
        <f t="shared" si="20"/>
        <v>0</v>
      </c>
      <c r="AM85" s="453">
        <v>3500</v>
      </c>
      <c r="AN85" s="453">
        <v>3390</v>
      </c>
      <c r="AO85" s="454"/>
      <c r="AP85" s="454"/>
      <c r="AQ85" s="452"/>
      <c r="AR85" s="452"/>
      <c r="AS85" s="494">
        <v>3500</v>
      </c>
      <c r="AT85" s="497">
        <v>3390</v>
      </c>
      <c r="AU85" s="495"/>
      <c r="AV85" s="495"/>
      <c r="AW85" s="147"/>
      <c r="AX85" s="119"/>
      <c r="BB85" s="119">
        <v>1</v>
      </c>
      <c r="BC85" s="119">
        <v>6</v>
      </c>
    </row>
    <row r="86" spans="1:55" ht="31.5" x14ac:dyDescent="0.25">
      <c r="A86" s="448" t="s">
        <v>874</v>
      </c>
      <c r="B86" s="449" t="s">
        <v>875</v>
      </c>
      <c r="C86" s="450" t="s">
        <v>41</v>
      </c>
      <c r="D86" s="450" t="s">
        <v>810</v>
      </c>
      <c r="E86" s="450" t="s">
        <v>50</v>
      </c>
      <c r="F86" s="450"/>
      <c r="G86" s="452"/>
      <c r="H86" s="452"/>
      <c r="I86" s="492"/>
      <c r="J86" s="492"/>
      <c r="K86" s="492"/>
      <c r="L86" s="492"/>
      <c r="M86" s="492"/>
      <c r="N86" s="492"/>
      <c r="O86" s="492"/>
      <c r="P86" s="492"/>
      <c r="Q86" s="492"/>
      <c r="R86" s="492"/>
      <c r="S86" s="492"/>
      <c r="T86" s="492"/>
      <c r="U86" s="492"/>
      <c r="V86" s="492"/>
      <c r="W86" s="492"/>
      <c r="X86" s="453">
        <v>1100</v>
      </c>
      <c r="Y86" s="453">
        <v>1050</v>
      </c>
      <c r="Z86" s="453"/>
      <c r="AA86" s="453"/>
      <c r="AB86" s="453"/>
      <c r="AC86" s="452"/>
      <c r="AD86" s="452"/>
      <c r="AE86" s="452"/>
      <c r="AF86" s="452"/>
      <c r="AG86" s="452"/>
      <c r="AH86" s="452"/>
      <c r="AI86" s="452"/>
      <c r="AJ86" s="454"/>
      <c r="AK86" s="454">
        <f t="shared" si="19"/>
        <v>0</v>
      </c>
      <c r="AL86" s="454">
        <f t="shared" si="20"/>
        <v>0</v>
      </c>
      <c r="AM86" s="453">
        <v>1100</v>
      </c>
      <c r="AN86" s="453">
        <v>1050</v>
      </c>
      <c r="AO86" s="454"/>
      <c r="AP86" s="454"/>
      <c r="AQ86" s="493">
        <v>1400</v>
      </c>
      <c r="AR86" s="452"/>
      <c r="AS86" s="494">
        <v>1100</v>
      </c>
      <c r="AT86" s="498">
        <v>2450</v>
      </c>
      <c r="AU86" s="499"/>
      <c r="AV86" s="499"/>
      <c r="AW86" s="147"/>
      <c r="AX86" s="119"/>
      <c r="BB86" s="119">
        <v>1</v>
      </c>
      <c r="BC86" s="119">
        <v>6</v>
      </c>
    </row>
    <row r="87" spans="1:55" ht="31.5" x14ac:dyDescent="0.25">
      <c r="A87" s="448" t="s">
        <v>876</v>
      </c>
      <c r="B87" s="449" t="s">
        <v>877</v>
      </c>
      <c r="C87" s="450" t="s">
        <v>41</v>
      </c>
      <c r="D87" s="450"/>
      <c r="E87" s="450" t="s">
        <v>50</v>
      </c>
      <c r="F87" s="450"/>
      <c r="G87" s="452"/>
      <c r="H87" s="452"/>
      <c r="I87" s="492"/>
      <c r="J87" s="492"/>
      <c r="K87" s="492"/>
      <c r="L87" s="492"/>
      <c r="M87" s="492"/>
      <c r="N87" s="492"/>
      <c r="O87" s="492"/>
      <c r="P87" s="492"/>
      <c r="Q87" s="492"/>
      <c r="R87" s="492"/>
      <c r="S87" s="492"/>
      <c r="T87" s="492"/>
      <c r="U87" s="492"/>
      <c r="V87" s="492"/>
      <c r="W87" s="492"/>
      <c r="X87" s="453">
        <v>2000</v>
      </c>
      <c r="Y87" s="453">
        <v>1990</v>
      </c>
      <c r="Z87" s="453"/>
      <c r="AA87" s="453"/>
      <c r="AB87" s="453"/>
      <c r="AC87" s="452"/>
      <c r="AD87" s="452"/>
      <c r="AE87" s="452"/>
      <c r="AF87" s="452"/>
      <c r="AG87" s="452"/>
      <c r="AH87" s="452"/>
      <c r="AI87" s="452"/>
      <c r="AJ87" s="454"/>
      <c r="AK87" s="454">
        <f t="shared" si="19"/>
        <v>0</v>
      </c>
      <c r="AL87" s="454">
        <v>99</v>
      </c>
      <c r="AM87" s="817">
        <v>1903</v>
      </c>
      <c r="AN87" s="817">
        <v>1892</v>
      </c>
      <c r="AO87" s="454"/>
      <c r="AP87" s="454"/>
      <c r="AQ87" s="452"/>
      <c r="AR87" s="452"/>
      <c r="AS87" s="494">
        <v>1903</v>
      </c>
      <c r="AT87" s="820">
        <v>1892</v>
      </c>
      <c r="AU87" s="495"/>
      <c r="AV87" s="495"/>
      <c r="AW87" s="147"/>
      <c r="AX87" s="119"/>
      <c r="BB87" s="119">
        <v>1</v>
      </c>
      <c r="BC87" s="119">
        <v>2</v>
      </c>
    </row>
    <row r="88" spans="1:55" ht="31.5" x14ac:dyDescent="0.25">
      <c r="A88" s="448" t="s">
        <v>878</v>
      </c>
      <c r="B88" s="500" t="s">
        <v>879</v>
      </c>
      <c r="C88" s="450" t="s">
        <v>43</v>
      </c>
      <c r="D88" s="450" t="s">
        <v>880</v>
      </c>
      <c r="E88" s="450" t="s">
        <v>52</v>
      </c>
      <c r="F88" s="450"/>
      <c r="G88" s="452"/>
      <c r="H88" s="452"/>
      <c r="I88" s="492"/>
      <c r="J88" s="492"/>
      <c r="K88" s="492"/>
      <c r="L88" s="492"/>
      <c r="M88" s="492"/>
      <c r="N88" s="492"/>
      <c r="O88" s="492"/>
      <c r="P88" s="492"/>
      <c r="Q88" s="492"/>
      <c r="R88" s="492"/>
      <c r="S88" s="492"/>
      <c r="T88" s="492"/>
      <c r="U88" s="492"/>
      <c r="V88" s="492"/>
      <c r="W88" s="492"/>
      <c r="X88" s="453"/>
      <c r="Y88" s="453"/>
      <c r="Z88" s="453"/>
      <c r="AA88" s="453"/>
      <c r="AB88" s="453"/>
      <c r="AC88" s="452"/>
      <c r="AD88" s="452"/>
      <c r="AE88" s="452"/>
      <c r="AF88" s="452"/>
      <c r="AG88" s="452"/>
      <c r="AH88" s="452"/>
      <c r="AI88" s="452"/>
      <c r="AJ88" s="454"/>
      <c r="AK88" s="454">
        <f t="shared" si="19"/>
        <v>1670</v>
      </c>
      <c r="AL88" s="454">
        <f t="shared" si="20"/>
        <v>0</v>
      </c>
      <c r="AM88" s="817">
        <v>1700</v>
      </c>
      <c r="AN88" s="817">
        <v>1670</v>
      </c>
      <c r="AO88" s="454"/>
      <c r="AP88" s="454"/>
      <c r="AQ88" s="452"/>
      <c r="AR88" s="452"/>
      <c r="AS88" s="494">
        <v>1700</v>
      </c>
      <c r="AT88" s="820">
        <v>1670</v>
      </c>
      <c r="AU88" s="495"/>
      <c r="AV88" s="495"/>
      <c r="AW88" s="10"/>
      <c r="AX88" s="119"/>
      <c r="BB88" s="119">
        <v>1</v>
      </c>
      <c r="BC88" s="119">
        <v>4</v>
      </c>
    </row>
    <row r="89" spans="1:55" ht="47.25" x14ac:dyDescent="0.25">
      <c r="A89" s="448" t="s">
        <v>881</v>
      </c>
      <c r="B89" s="500" t="s">
        <v>882</v>
      </c>
      <c r="C89" s="450" t="s">
        <v>51</v>
      </c>
      <c r="D89" s="450" t="s">
        <v>883</v>
      </c>
      <c r="E89" s="450" t="s">
        <v>52</v>
      </c>
      <c r="F89" s="450"/>
      <c r="G89" s="452"/>
      <c r="H89" s="452"/>
      <c r="I89" s="492"/>
      <c r="J89" s="492"/>
      <c r="K89" s="492"/>
      <c r="L89" s="492"/>
      <c r="M89" s="492"/>
      <c r="N89" s="492"/>
      <c r="O89" s="492"/>
      <c r="P89" s="492"/>
      <c r="Q89" s="492"/>
      <c r="R89" s="492"/>
      <c r="S89" s="492"/>
      <c r="T89" s="492"/>
      <c r="U89" s="492"/>
      <c r="V89" s="492"/>
      <c r="W89" s="492"/>
      <c r="X89" s="453"/>
      <c r="Y89" s="453"/>
      <c r="Z89" s="453"/>
      <c r="AA89" s="453"/>
      <c r="AB89" s="453"/>
      <c r="AC89" s="452"/>
      <c r="AD89" s="452"/>
      <c r="AE89" s="452"/>
      <c r="AF89" s="452"/>
      <c r="AG89" s="452"/>
      <c r="AH89" s="452"/>
      <c r="AI89" s="452"/>
      <c r="AJ89" s="454"/>
      <c r="AK89" s="454">
        <f t="shared" si="19"/>
        <v>540</v>
      </c>
      <c r="AL89" s="454">
        <f t="shared" si="20"/>
        <v>0</v>
      </c>
      <c r="AM89" s="817">
        <v>550</v>
      </c>
      <c r="AN89" s="817">
        <v>540</v>
      </c>
      <c r="AO89" s="454"/>
      <c r="AP89" s="454"/>
      <c r="AQ89" s="493"/>
      <c r="AR89" s="493">
        <v>540</v>
      </c>
      <c r="AS89" s="494">
        <v>0</v>
      </c>
      <c r="AT89" s="820">
        <v>0</v>
      </c>
      <c r="AU89" s="495"/>
      <c r="AV89" s="495"/>
      <c r="AW89" s="10"/>
      <c r="AX89" s="119"/>
      <c r="BB89" s="119">
        <v>1</v>
      </c>
      <c r="BC89" s="119">
        <v>4</v>
      </c>
    </row>
    <row r="90" spans="1:55" ht="31.5" x14ac:dyDescent="0.25">
      <c r="A90" s="448" t="s">
        <v>884</v>
      </c>
      <c r="B90" s="500" t="s">
        <v>885</v>
      </c>
      <c r="C90" s="450" t="s">
        <v>41</v>
      </c>
      <c r="D90" s="464"/>
      <c r="E90" s="450" t="s">
        <v>52</v>
      </c>
      <c r="F90" s="450"/>
      <c r="G90" s="452"/>
      <c r="H90" s="452"/>
      <c r="I90" s="492"/>
      <c r="J90" s="492"/>
      <c r="K90" s="492"/>
      <c r="L90" s="492"/>
      <c r="M90" s="492"/>
      <c r="N90" s="492"/>
      <c r="O90" s="492"/>
      <c r="P90" s="492"/>
      <c r="Q90" s="492"/>
      <c r="R90" s="492"/>
      <c r="S90" s="492"/>
      <c r="T90" s="492"/>
      <c r="U90" s="492"/>
      <c r="V90" s="492"/>
      <c r="W90" s="492"/>
      <c r="X90" s="453"/>
      <c r="Y90" s="453"/>
      <c r="Z90" s="453"/>
      <c r="AA90" s="453"/>
      <c r="AB90" s="453"/>
      <c r="AC90" s="452"/>
      <c r="AD90" s="452"/>
      <c r="AE90" s="452"/>
      <c r="AF90" s="452"/>
      <c r="AG90" s="452"/>
      <c r="AH90" s="452"/>
      <c r="AI90" s="452"/>
      <c r="AJ90" s="454"/>
      <c r="AK90" s="454">
        <f t="shared" si="19"/>
        <v>1490</v>
      </c>
      <c r="AL90" s="454">
        <f t="shared" si="20"/>
        <v>0</v>
      </c>
      <c r="AM90" s="817">
        <v>1500</v>
      </c>
      <c r="AN90" s="817">
        <v>1490</v>
      </c>
      <c r="AO90" s="454"/>
      <c r="AP90" s="454"/>
      <c r="AQ90" s="493"/>
      <c r="AR90" s="493"/>
      <c r="AS90" s="494">
        <v>1500</v>
      </c>
      <c r="AT90" s="820">
        <v>1490</v>
      </c>
      <c r="AU90" s="495"/>
      <c r="AV90" s="495"/>
      <c r="AW90" s="10"/>
      <c r="AX90" s="119"/>
      <c r="BB90" s="119">
        <v>1</v>
      </c>
      <c r="BC90" s="119">
        <v>4</v>
      </c>
    </row>
    <row r="91" spans="1:55" ht="31.5" x14ac:dyDescent="0.25">
      <c r="A91" s="448" t="s">
        <v>886</v>
      </c>
      <c r="B91" s="500" t="s">
        <v>887</v>
      </c>
      <c r="C91" s="450" t="s">
        <v>41</v>
      </c>
      <c r="D91" s="464"/>
      <c r="E91" s="450" t="s">
        <v>52</v>
      </c>
      <c r="F91" s="450"/>
      <c r="G91" s="452"/>
      <c r="H91" s="452"/>
      <c r="I91" s="492"/>
      <c r="J91" s="492"/>
      <c r="K91" s="492"/>
      <c r="L91" s="492"/>
      <c r="M91" s="492"/>
      <c r="N91" s="492"/>
      <c r="O91" s="492"/>
      <c r="P91" s="492"/>
      <c r="Q91" s="492"/>
      <c r="R91" s="492"/>
      <c r="S91" s="492"/>
      <c r="T91" s="492"/>
      <c r="U91" s="492"/>
      <c r="V91" s="492"/>
      <c r="W91" s="492"/>
      <c r="X91" s="453"/>
      <c r="Y91" s="453"/>
      <c r="Z91" s="453"/>
      <c r="AA91" s="453"/>
      <c r="AB91" s="453"/>
      <c r="AC91" s="452"/>
      <c r="AD91" s="452"/>
      <c r="AE91" s="452"/>
      <c r="AF91" s="452"/>
      <c r="AG91" s="452"/>
      <c r="AH91" s="452"/>
      <c r="AI91" s="452"/>
      <c r="AJ91" s="454"/>
      <c r="AK91" s="454">
        <f t="shared" si="19"/>
        <v>740</v>
      </c>
      <c r="AL91" s="454">
        <f t="shared" si="20"/>
        <v>0</v>
      </c>
      <c r="AM91" s="817">
        <v>750</v>
      </c>
      <c r="AN91" s="817">
        <v>740</v>
      </c>
      <c r="AO91" s="454"/>
      <c r="AP91" s="454"/>
      <c r="AQ91" s="493">
        <v>1450</v>
      </c>
      <c r="AR91" s="493"/>
      <c r="AS91" s="494">
        <v>750</v>
      </c>
      <c r="AT91" s="820">
        <v>2190</v>
      </c>
      <c r="AU91" s="495"/>
      <c r="AV91" s="495"/>
      <c r="AW91" s="10"/>
      <c r="AX91" s="119"/>
      <c r="BB91" s="119">
        <v>1</v>
      </c>
      <c r="BC91" s="119">
        <v>4</v>
      </c>
    </row>
    <row r="92" spans="1:55" ht="42" customHeight="1" x14ac:dyDescent="0.25">
      <c r="A92" s="448" t="s">
        <v>888</v>
      </c>
      <c r="B92" s="500" t="s">
        <v>889</v>
      </c>
      <c r="C92" s="450" t="s">
        <v>751</v>
      </c>
      <c r="D92" s="450" t="s">
        <v>890</v>
      </c>
      <c r="E92" s="450" t="s">
        <v>52</v>
      </c>
      <c r="F92" s="450"/>
      <c r="G92" s="452"/>
      <c r="H92" s="452"/>
      <c r="I92" s="492"/>
      <c r="J92" s="492"/>
      <c r="K92" s="492"/>
      <c r="L92" s="492"/>
      <c r="M92" s="492"/>
      <c r="N92" s="492"/>
      <c r="O92" s="492"/>
      <c r="P92" s="492"/>
      <c r="Q92" s="492"/>
      <c r="R92" s="492"/>
      <c r="S92" s="492"/>
      <c r="T92" s="492"/>
      <c r="U92" s="492"/>
      <c r="V92" s="492"/>
      <c r="W92" s="492"/>
      <c r="X92" s="453"/>
      <c r="Y92" s="453"/>
      <c r="Z92" s="453"/>
      <c r="AA92" s="453"/>
      <c r="AB92" s="453"/>
      <c r="AC92" s="452"/>
      <c r="AD92" s="452"/>
      <c r="AE92" s="452"/>
      <c r="AF92" s="452"/>
      <c r="AG92" s="452"/>
      <c r="AH92" s="452"/>
      <c r="AI92" s="452"/>
      <c r="AJ92" s="454"/>
      <c r="AK92" s="454">
        <f t="shared" si="19"/>
        <v>2490</v>
      </c>
      <c r="AL92" s="454">
        <f t="shared" si="20"/>
        <v>0</v>
      </c>
      <c r="AM92" s="817">
        <v>2500</v>
      </c>
      <c r="AN92" s="817">
        <v>2490</v>
      </c>
      <c r="AO92" s="454"/>
      <c r="AP92" s="454"/>
      <c r="AQ92" s="493">
        <v>500</v>
      </c>
      <c r="AR92" s="493"/>
      <c r="AS92" s="494">
        <v>2500</v>
      </c>
      <c r="AT92" s="820">
        <v>2990</v>
      </c>
      <c r="AU92" s="495"/>
      <c r="AV92" s="495"/>
      <c r="AW92" s="10"/>
      <c r="AX92" s="119"/>
      <c r="BB92" s="119">
        <v>1</v>
      </c>
      <c r="BC92" s="119">
        <v>4</v>
      </c>
    </row>
    <row r="93" spans="1:55" ht="31.5" x14ac:dyDescent="0.25">
      <c r="A93" s="448" t="s">
        <v>891</v>
      </c>
      <c r="B93" s="500" t="s">
        <v>892</v>
      </c>
      <c r="C93" s="450" t="s">
        <v>41</v>
      </c>
      <c r="D93" s="450" t="s">
        <v>893</v>
      </c>
      <c r="E93" s="450" t="s">
        <v>52</v>
      </c>
      <c r="F93" s="450"/>
      <c r="G93" s="452"/>
      <c r="H93" s="452"/>
      <c r="I93" s="492"/>
      <c r="J93" s="492"/>
      <c r="K93" s="492"/>
      <c r="L93" s="492"/>
      <c r="M93" s="492"/>
      <c r="N93" s="492"/>
      <c r="O93" s="492"/>
      <c r="P93" s="492"/>
      <c r="Q93" s="492"/>
      <c r="R93" s="492"/>
      <c r="S93" s="492"/>
      <c r="T93" s="492"/>
      <c r="U93" s="492"/>
      <c r="V93" s="492"/>
      <c r="W93" s="492"/>
      <c r="X93" s="453"/>
      <c r="Y93" s="453"/>
      <c r="Z93" s="453"/>
      <c r="AA93" s="453"/>
      <c r="AB93" s="453"/>
      <c r="AC93" s="452"/>
      <c r="AD93" s="452"/>
      <c r="AE93" s="452"/>
      <c r="AF93" s="452"/>
      <c r="AG93" s="452"/>
      <c r="AH93" s="452"/>
      <c r="AI93" s="452"/>
      <c r="AJ93" s="454"/>
      <c r="AK93" s="454">
        <f t="shared" si="19"/>
        <v>1302</v>
      </c>
      <c r="AL93" s="454">
        <f t="shared" si="20"/>
        <v>0</v>
      </c>
      <c r="AM93" s="817">
        <v>1312</v>
      </c>
      <c r="AN93" s="817">
        <v>1302</v>
      </c>
      <c r="AO93" s="454"/>
      <c r="AP93" s="454"/>
      <c r="AQ93" s="452"/>
      <c r="AR93" s="452"/>
      <c r="AS93" s="494">
        <v>1312</v>
      </c>
      <c r="AT93" s="820">
        <v>1302</v>
      </c>
      <c r="AU93" s="495"/>
      <c r="AV93" s="495"/>
      <c r="AW93" s="10"/>
      <c r="AX93" s="119"/>
      <c r="BB93" s="119">
        <v>1</v>
      </c>
      <c r="BC93" s="119">
        <v>4</v>
      </c>
    </row>
    <row r="94" spans="1:55" ht="47.25" x14ac:dyDescent="0.25">
      <c r="A94" s="448" t="s">
        <v>894</v>
      </c>
      <c r="B94" s="449" t="s">
        <v>895</v>
      </c>
      <c r="C94" s="450" t="s">
        <v>43</v>
      </c>
      <c r="D94" s="450"/>
      <c r="E94" s="450" t="s">
        <v>46</v>
      </c>
      <c r="F94" s="450"/>
      <c r="G94" s="452"/>
      <c r="H94" s="452"/>
      <c r="I94" s="492"/>
      <c r="J94" s="492"/>
      <c r="K94" s="492"/>
      <c r="L94" s="492"/>
      <c r="M94" s="492"/>
      <c r="N94" s="492"/>
      <c r="O94" s="492"/>
      <c r="P94" s="492"/>
      <c r="Q94" s="492"/>
      <c r="R94" s="492"/>
      <c r="S94" s="492"/>
      <c r="T94" s="492"/>
      <c r="U94" s="492"/>
      <c r="V94" s="492"/>
      <c r="W94" s="492"/>
      <c r="X94" s="453">
        <v>2300.2860000000001</v>
      </c>
      <c r="Y94" s="453">
        <v>2279.8920000000003</v>
      </c>
      <c r="Z94" s="453"/>
      <c r="AA94" s="453"/>
      <c r="AB94" s="453"/>
      <c r="AC94" s="452"/>
      <c r="AD94" s="452"/>
      <c r="AE94" s="452"/>
      <c r="AF94" s="452"/>
      <c r="AG94" s="452"/>
      <c r="AH94" s="452"/>
      <c r="AI94" s="452"/>
      <c r="AJ94" s="454"/>
      <c r="AK94" s="454">
        <f t="shared" si="19"/>
        <v>0</v>
      </c>
      <c r="AL94" s="454">
        <f t="shared" si="20"/>
        <v>2279.8920000000003</v>
      </c>
      <c r="AM94" s="454"/>
      <c r="AN94" s="454"/>
      <c r="AO94" s="454"/>
      <c r="AP94" s="454"/>
      <c r="AQ94" s="452"/>
      <c r="AR94" s="452"/>
      <c r="AS94" s="494"/>
      <c r="AT94" s="494"/>
      <c r="AU94" s="495"/>
      <c r="AV94" s="495"/>
      <c r="AW94" s="10"/>
      <c r="AX94" s="119"/>
      <c r="BB94" s="119">
        <v>1</v>
      </c>
      <c r="BC94" s="119">
        <v>3</v>
      </c>
    </row>
    <row r="95" spans="1:55" ht="31.5" x14ac:dyDescent="0.25">
      <c r="A95" s="448" t="s">
        <v>896</v>
      </c>
      <c r="B95" s="449" t="s">
        <v>897</v>
      </c>
      <c r="C95" s="450" t="s">
        <v>41</v>
      </c>
      <c r="D95" s="450" t="s">
        <v>818</v>
      </c>
      <c r="E95" s="450" t="s">
        <v>50</v>
      </c>
      <c r="F95" s="450"/>
      <c r="G95" s="452"/>
      <c r="H95" s="452"/>
      <c r="I95" s="492"/>
      <c r="J95" s="492"/>
      <c r="K95" s="492"/>
      <c r="L95" s="492"/>
      <c r="M95" s="492"/>
      <c r="N95" s="492"/>
      <c r="O95" s="492"/>
      <c r="P95" s="492"/>
      <c r="Q95" s="492"/>
      <c r="R95" s="492"/>
      <c r="S95" s="492"/>
      <c r="T95" s="492"/>
      <c r="U95" s="492"/>
      <c r="V95" s="492"/>
      <c r="W95" s="492"/>
      <c r="X95" s="453">
        <v>750</v>
      </c>
      <c r="Y95" s="453">
        <v>740</v>
      </c>
      <c r="Z95" s="453"/>
      <c r="AA95" s="453"/>
      <c r="AB95" s="453"/>
      <c r="AC95" s="452"/>
      <c r="AD95" s="452"/>
      <c r="AE95" s="452"/>
      <c r="AF95" s="452"/>
      <c r="AG95" s="452"/>
      <c r="AH95" s="452"/>
      <c r="AI95" s="452"/>
      <c r="AJ95" s="454"/>
      <c r="AK95" s="454">
        <f t="shared" si="19"/>
        <v>0</v>
      </c>
      <c r="AL95" s="454">
        <f t="shared" si="20"/>
        <v>740</v>
      </c>
      <c r="AM95" s="454"/>
      <c r="AN95" s="454"/>
      <c r="AO95" s="454"/>
      <c r="AP95" s="454"/>
      <c r="AQ95" s="452"/>
      <c r="AR95" s="452"/>
      <c r="AS95" s="494"/>
      <c r="AT95" s="494"/>
      <c r="AU95" s="495"/>
      <c r="AV95" s="495"/>
      <c r="AW95" s="10"/>
      <c r="AX95" s="119"/>
      <c r="BB95" s="119">
        <v>1</v>
      </c>
      <c r="BC95" s="119">
        <v>3</v>
      </c>
    </row>
    <row r="96" spans="1:55" ht="31.5" x14ac:dyDescent="0.25">
      <c r="A96" s="448" t="s">
        <v>898</v>
      </c>
      <c r="B96" s="449" t="s">
        <v>899</v>
      </c>
      <c r="C96" s="450" t="s">
        <v>44</v>
      </c>
      <c r="D96" s="450"/>
      <c r="E96" s="450" t="s">
        <v>50</v>
      </c>
      <c r="F96" s="450"/>
      <c r="G96" s="452"/>
      <c r="H96" s="452"/>
      <c r="I96" s="492"/>
      <c r="J96" s="492"/>
      <c r="K96" s="492"/>
      <c r="L96" s="492"/>
      <c r="M96" s="492"/>
      <c r="N96" s="492"/>
      <c r="O96" s="492"/>
      <c r="P96" s="492"/>
      <c r="Q96" s="492"/>
      <c r="R96" s="492"/>
      <c r="S96" s="492"/>
      <c r="T96" s="492"/>
      <c r="U96" s="492"/>
      <c r="V96" s="492"/>
      <c r="W96" s="492"/>
      <c r="X96" s="453">
        <v>550</v>
      </c>
      <c r="Y96" s="453">
        <v>540</v>
      </c>
      <c r="Z96" s="453"/>
      <c r="AA96" s="453"/>
      <c r="AB96" s="453"/>
      <c r="AC96" s="452"/>
      <c r="AD96" s="452"/>
      <c r="AE96" s="452"/>
      <c r="AF96" s="452"/>
      <c r="AG96" s="452"/>
      <c r="AH96" s="452"/>
      <c r="AI96" s="452"/>
      <c r="AJ96" s="454"/>
      <c r="AK96" s="454">
        <f t="shared" si="19"/>
        <v>0</v>
      </c>
      <c r="AL96" s="454">
        <f t="shared" si="20"/>
        <v>540</v>
      </c>
      <c r="AM96" s="454"/>
      <c r="AN96" s="454"/>
      <c r="AO96" s="454"/>
      <c r="AP96" s="454"/>
      <c r="AQ96" s="452"/>
      <c r="AR96" s="452"/>
      <c r="AS96" s="494"/>
      <c r="AT96" s="494"/>
      <c r="AU96" s="495"/>
      <c r="AV96" s="495"/>
      <c r="AW96" s="10"/>
      <c r="AX96" s="119"/>
      <c r="BB96" s="119">
        <v>1</v>
      </c>
      <c r="BC96" s="119">
        <v>3</v>
      </c>
    </row>
    <row r="97" spans="1:55" ht="31.5" x14ac:dyDescent="0.25">
      <c r="A97" s="448" t="s">
        <v>900</v>
      </c>
      <c r="B97" s="449" t="s">
        <v>901</v>
      </c>
      <c r="C97" s="450" t="s">
        <v>51</v>
      </c>
      <c r="D97" s="450"/>
      <c r="E97" s="450" t="s">
        <v>50</v>
      </c>
      <c r="F97" s="450"/>
      <c r="G97" s="452"/>
      <c r="H97" s="452"/>
      <c r="I97" s="492"/>
      <c r="J97" s="492"/>
      <c r="K97" s="492"/>
      <c r="L97" s="492"/>
      <c r="M97" s="492"/>
      <c r="N97" s="492"/>
      <c r="O97" s="492"/>
      <c r="P97" s="492"/>
      <c r="Q97" s="492"/>
      <c r="R97" s="492"/>
      <c r="S97" s="492"/>
      <c r="T97" s="492"/>
      <c r="U97" s="492"/>
      <c r="V97" s="492"/>
      <c r="W97" s="492"/>
      <c r="X97" s="453">
        <v>550</v>
      </c>
      <c r="Y97" s="453">
        <v>540</v>
      </c>
      <c r="Z97" s="453"/>
      <c r="AA97" s="453"/>
      <c r="AB97" s="453"/>
      <c r="AC97" s="452"/>
      <c r="AD97" s="452"/>
      <c r="AE97" s="452"/>
      <c r="AF97" s="452"/>
      <c r="AG97" s="452"/>
      <c r="AH97" s="452"/>
      <c r="AI97" s="452"/>
      <c r="AJ97" s="454"/>
      <c r="AK97" s="454">
        <f t="shared" si="19"/>
        <v>0</v>
      </c>
      <c r="AL97" s="454">
        <f t="shared" si="20"/>
        <v>540</v>
      </c>
      <c r="AM97" s="454"/>
      <c r="AN97" s="454"/>
      <c r="AO97" s="454"/>
      <c r="AP97" s="454"/>
      <c r="AQ97" s="452"/>
      <c r="AR97" s="452"/>
      <c r="AS97" s="494"/>
      <c r="AT97" s="494"/>
      <c r="AU97" s="495"/>
      <c r="AV97" s="495"/>
      <c r="AW97" s="10"/>
      <c r="AX97" s="119"/>
      <c r="BB97" s="119">
        <v>1</v>
      </c>
      <c r="BC97" s="119">
        <v>3</v>
      </c>
    </row>
    <row r="98" spans="1:55" ht="31.5" x14ac:dyDescent="0.25">
      <c r="A98" s="448" t="s">
        <v>902</v>
      </c>
      <c r="B98" s="449" t="s">
        <v>903</v>
      </c>
      <c r="C98" s="450" t="s">
        <v>751</v>
      </c>
      <c r="D98" s="450"/>
      <c r="E98" s="450" t="s">
        <v>50</v>
      </c>
      <c r="F98" s="450"/>
      <c r="G98" s="452"/>
      <c r="H98" s="452"/>
      <c r="I98" s="492"/>
      <c r="J98" s="492"/>
      <c r="K98" s="492"/>
      <c r="L98" s="492"/>
      <c r="M98" s="492"/>
      <c r="N98" s="492"/>
      <c r="O98" s="492"/>
      <c r="P98" s="492"/>
      <c r="Q98" s="492"/>
      <c r="R98" s="492"/>
      <c r="S98" s="492"/>
      <c r="T98" s="492"/>
      <c r="U98" s="492"/>
      <c r="V98" s="492"/>
      <c r="W98" s="492"/>
      <c r="X98" s="453">
        <v>550</v>
      </c>
      <c r="Y98" s="453">
        <v>540</v>
      </c>
      <c r="Z98" s="453"/>
      <c r="AA98" s="453"/>
      <c r="AB98" s="453"/>
      <c r="AC98" s="452"/>
      <c r="AD98" s="452"/>
      <c r="AE98" s="452"/>
      <c r="AF98" s="452"/>
      <c r="AG98" s="452"/>
      <c r="AH98" s="452"/>
      <c r="AI98" s="452"/>
      <c r="AJ98" s="454"/>
      <c r="AK98" s="454">
        <f t="shared" si="19"/>
        <v>0</v>
      </c>
      <c r="AL98" s="454">
        <f t="shared" si="20"/>
        <v>540</v>
      </c>
      <c r="AM98" s="454"/>
      <c r="AN98" s="454"/>
      <c r="AO98" s="454"/>
      <c r="AP98" s="454"/>
      <c r="AQ98" s="452"/>
      <c r="AR98" s="452"/>
      <c r="AS98" s="494"/>
      <c r="AT98" s="494"/>
      <c r="AU98" s="495"/>
      <c r="AV98" s="495"/>
      <c r="AW98" s="10"/>
      <c r="AX98" s="119"/>
      <c r="BB98" s="119">
        <v>1</v>
      </c>
      <c r="BC98" s="119">
        <v>3</v>
      </c>
    </row>
    <row r="99" spans="1:55" ht="45" customHeight="1" x14ac:dyDescent="0.25">
      <c r="A99" s="448" t="s">
        <v>904</v>
      </c>
      <c r="B99" s="449" t="s">
        <v>905</v>
      </c>
      <c r="C99" s="450" t="s">
        <v>44</v>
      </c>
      <c r="D99" s="450"/>
      <c r="E99" s="450" t="s">
        <v>50</v>
      </c>
      <c r="F99" s="450"/>
      <c r="G99" s="452"/>
      <c r="H99" s="452"/>
      <c r="I99" s="492"/>
      <c r="J99" s="492"/>
      <c r="K99" s="492"/>
      <c r="L99" s="492"/>
      <c r="M99" s="492"/>
      <c r="N99" s="492"/>
      <c r="O99" s="492"/>
      <c r="P99" s="492"/>
      <c r="Q99" s="492"/>
      <c r="R99" s="492"/>
      <c r="S99" s="492"/>
      <c r="T99" s="492"/>
      <c r="U99" s="492"/>
      <c r="V99" s="492"/>
      <c r="W99" s="492"/>
      <c r="X99" s="453">
        <v>450</v>
      </c>
      <c r="Y99" s="453">
        <v>440</v>
      </c>
      <c r="Z99" s="453"/>
      <c r="AA99" s="453"/>
      <c r="AB99" s="453"/>
      <c r="AC99" s="452"/>
      <c r="AD99" s="452"/>
      <c r="AE99" s="452"/>
      <c r="AF99" s="452"/>
      <c r="AG99" s="452"/>
      <c r="AH99" s="452"/>
      <c r="AI99" s="452"/>
      <c r="AJ99" s="454"/>
      <c r="AK99" s="454">
        <f>IF(AN99-Y99&gt;0,AN99-Y99,0)</f>
        <v>0</v>
      </c>
      <c r="AL99" s="454">
        <f>IF(Y99-AN99&gt;0,Y99-AN99,0)</f>
        <v>440</v>
      </c>
      <c r="AM99" s="454"/>
      <c r="AN99" s="454"/>
      <c r="AO99" s="454"/>
      <c r="AP99" s="454"/>
      <c r="AQ99" s="452"/>
      <c r="AR99" s="452"/>
      <c r="AS99" s="494"/>
      <c r="AT99" s="494"/>
      <c r="AU99" s="495"/>
      <c r="AV99" s="495"/>
      <c r="AW99" s="10"/>
      <c r="AX99" s="119"/>
      <c r="BB99" s="119">
        <v>1</v>
      </c>
      <c r="BC99" s="119">
        <v>3</v>
      </c>
    </row>
    <row r="100" spans="1:55" ht="49.5" customHeight="1" x14ac:dyDescent="0.25">
      <c r="A100" s="448" t="s">
        <v>906</v>
      </c>
      <c r="B100" s="449" t="s">
        <v>907</v>
      </c>
      <c r="C100" s="450" t="s">
        <v>44</v>
      </c>
      <c r="D100" s="450"/>
      <c r="E100" s="450" t="s">
        <v>50</v>
      </c>
      <c r="F100" s="450"/>
      <c r="G100" s="452"/>
      <c r="H100" s="452"/>
      <c r="I100" s="492"/>
      <c r="J100" s="492"/>
      <c r="K100" s="492"/>
      <c r="L100" s="492"/>
      <c r="M100" s="492"/>
      <c r="N100" s="492"/>
      <c r="O100" s="492"/>
      <c r="P100" s="492"/>
      <c r="Q100" s="492"/>
      <c r="R100" s="492"/>
      <c r="S100" s="492"/>
      <c r="T100" s="492"/>
      <c r="U100" s="492"/>
      <c r="V100" s="492"/>
      <c r="W100" s="492"/>
      <c r="X100" s="453">
        <v>450</v>
      </c>
      <c r="Y100" s="453">
        <v>440</v>
      </c>
      <c r="Z100" s="453"/>
      <c r="AA100" s="453"/>
      <c r="AB100" s="453"/>
      <c r="AC100" s="452"/>
      <c r="AD100" s="452"/>
      <c r="AE100" s="452"/>
      <c r="AF100" s="452"/>
      <c r="AG100" s="452"/>
      <c r="AH100" s="452"/>
      <c r="AI100" s="452"/>
      <c r="AJ100" s="454"/>
      <c r="AK100" s="454">
        <f>IF(AN100-Y100&gt;0,AN100-Y100,0)</f>
        <v>0</v>
      </c>
      <c r="AL100" s="454">
        <f>IF(Y100-AN100&gt;0,Y100-AN100,0)</f>
        <v>440</v>
      </c>
      <c r="AM100" s="454"/>
      <c r="AN100" s="454"/>
      <c r="AO100" s="454"/>
      <c r="AP100" s="454"/>
      <c r="AQ100" s="452"/>
      <c r="AR100" s="452"/>
      <c r="AS100" s="494"/>
      <c r="AT100" s="494"/>
      <c r="AU100" s="495"/>
      <c r="AV100" s="495"/>
      <c r="AW100" s="10"/>
      <c r="AX100" s="119"/>
      <c r="BB100" s="119">
        <v>1</v>
      </c>
      <c r="BC100" s="119">
        <v>3</v>
      </c>
    </row>
    <row r="101" spans="1:55" ht="50.25" customHeight="1" x14ac:dyDescent="0.25">
      <c r="A101" s="448" t="s">
        <v>908</v>
      </c>
      <c r="B101" s="449" t="s">
        <v>909</v>
      </c>
      <c r="C101" s="450" t="s">
        <v>44</v>
      </c>
      <c r="D101" s="450"/>
      <c r="E101" s="450" t="s">
        <v>50</v>
      </c>
      <c r="F101" s="450"/>
      <c r="G101" s="452"/>
      <c r="H101" s="452"/>
      <c r="I101" s="492"/>
      <c r="J101" s="492"/>
      <c r="K101" s="492"/>
      <c r="L101" s="492"/>
      <c r="M101" s="492"/>
      <c r="N101" s="492"/>
      <c r="O101" s="492"/>
      <c r="P101" s="492"/>
      <c r="Q101" s="492"/>
      <c r="R101" s="492"/>
      <c r="S101" s="492"/>
      <c r="T101" s="492"/>
      <c r="U101" s="492"/>
      <c r="V101" s="492"/>
      <c r="W101" s="492"/>
      <c r="X101" s="453">
        <v>450</v>
      </c>
      <c r="Y101" s="453">
        <v>440</v>
      </c>
      <c r="Z101" s="453"/>
      <c r="AA101" s="453"/>
      <c r="AB101" s="453"/>
      <c r="AC101" s="452"/>
      <c r="AD101" s="452"/>
      <c r="AE101" s="452"/>
      <c r="AF101" s="452"/>
      <c r="AG101" s="452"/>
      <c r="AH101" s="452"/>
      <c r="AI101" s="452"/>
      <c r="AJ101" s="454"/>
      <c r="AK101" s="454">
        <f>IF(AN101-Y101&gt;0,AN101-Y101,0)</f>
        <v>0</v>
      </c>
      <c r="AL101" s="454">
        <f>IF(Y101-AN101&gt;0,Y101-AN101,0)</f>
        <v>440</v>
      </c>
      <c r="AM101" s="454"/>
      <c r="AN101" s="454"/>
      <c r="AO101" s="454"/>
      <c r="AP101" s="454"/>
      <c r="AQ101" s="452"/>
      <c r="AR101" s="452"/>
      <c r="AS101" s="494"/>
      <c r="AT101" s="494"/>
      <c r="AU101" s="495"/>
      <c r="AV101" s="495"/>
      <c r="AW101" s="10"/>
      <c r="AX101" s="119"/>
      <c r="BB101" s="119">
        <v>1</v>
      </c>
      <c r="BC101" s="119">
        <v>3</v>
      </c>
    </row>
    <row r="102" spans="1:55" ht="31.5" x14ac:dyDescent="0.25">
      <c r="A102" s="448" t="s">
        <v>910</v>
      </c>
      <c r="B102" s="449" t="s">
        <v>911</v>
      </c>
      <c r="C102" s="450" t="s">
        <v>41</v>
      </c>
      <c r="D102" s="450" t="s">
        <v>912</v>
      </c>
      <c r="E102" s="450" t="s">
        <v>50</v>
      </c>
      <c r="F102" s="450"/>
      <c r="G102" s="452"/>
      <c r="H102" s="452"/>
      <c r="I102" s="492"/>
      <c r="J102" s="492"/>
      <c r="K102" s="492"/>
      <c r="L102" s="492"/>
      <c r="M102" s="492"/>
      <c r="N102" s="492"/>
      <c r="O102" s="492"/>
      <c r="P102" s="492"/>
      <c r="Q102" s="492"/>
      <c r="R102" s="492"/>
      <c r="S102" s="492"/>
      <c r="T102" s="492"/>
      <c r="U102" s="492"/>
      <c r="V102" s="492"/>
      <c r="W102" s="492"/>
      <c r="X102" s="453">
        <v>1500</v>
      </c>
      <c r="Y102" s="453">
        <v>1450</v>
      </c>
      <c r="Z102" s="453"/>
      <c r="AA102" s="453"/>
      <c r="AB102" s="453"/>
      <c r="AC102" s="452"/>
      <c r="AD102" s="452"/>
      <c r="AE102" s="452"/>
      <c r="AF102" s="452"/>
      <c r="AG102" s="452"/>
      <c r="AH102" s="452"/>
      <c r="AI102" s="452"/>
      <c r="AJ102" s="454"/>
      <c r="AK102" s="454">
        <f>IF(AN102-Y102&gt;0,AN102-Y102,0)</f>
        <v>0</v>
      </c>
      <c r="AL102" s="454">
        <f>IF(Y102-AN102&gt;0,Y102-AN102,0)</f>
        <v>1450</v>
      </c>
      <c r="AM102" s="454"/>
      <c r="AN102" s="454"/>
      <c r="AO102" s="454"/>
      <c r="AP102" s="454"/>
      <c r="AQ102" s="452"/>
      <c r="AR102" s="452"/>
      <c r="AS102" s="494"/>
      <c r="AT102" s="494"/>
      <c r="AU102" s="495"/>
      <c r="AV102" s="495"/>
      <c r="AW102" s="10"/>
      <c r="AX102" s="119"/>
      <c r="BB102" s="119">
        <v>1</v>
      </c>
      <c r="BC102" s="119">
        <v>3</v>
      </c>
    </row>
    <row r="103" spans="1:55" s="14" customFormat="1" ht="40.5" customHeight="1" x14ac:dyDescent="0.25">
      <c r="A103" s="501" t="s">
        <v>913</v>
      </c>
      <c r="B103" s="502" t="s">
        <v>914</v>
      </c>
      <c r="C103" s="450"/>
      <c r="D103" s="450"/>
      <c r="E103" s="450"/>
      <c r="F103" s="450"/>
      <c r="G103" s="452"/>
      <c r="H103" s="452"/>
      <c r="I103" s="492"/>
      <c r="J103" s="492"/>
      <c r="K103" s="492"/>
      <c r="L103" s="492"/>
      <c r="M103" s="492"/>
      <c r="N103" s="492"/>
      <c r="O103" s="492"/>
      <c r="P103" s="492"/>
      <c r="Q103" s="492"/>
      <c r="R103" s="492"/>
      <c r="S103" s="492"/>
      <c r="T103" s="492"/>
      <c r="U103" s="492"/>
      <c r="V103" s="492"/>
      <c r="W103" s="492"/>
      <c r="X103" s="453"/>
      <c r="Y103" s="453"/>
      <c r="Z103" s="453"/>
      <c r="AA103" s="453"/>
      <c r="AB103" s="453"/>
      <c r="AC103" s="452"/>
      <c r="AD103" s="452"/>
      <c r="AE103" s="452"/>
      <c r="AF103" s="452"/>
      <c r="AG103" s="452"/>
      <c r="AH103" s="452"/>
      <c r="AI103" s="452"/>
      <c r="AJ103" s="454"/>
      <c r="AK103" s="454"/>
      <c r="AL103" s="454"/>
      <c r="AM103" s="454"/>
      <c r="AN103" s="454"/>
      <c r="AO103" s="454"/>
      <c r="AP103" s="454"/>
      <c r="AQ103" s="503"/>
      <c r="AR103" s="452"/>
      <c r="AS103" s="504"/>
      <c r="AT103" s="504"/>
      <c r="AU103" s="54">
        <v>0</v>
      </c>
      <c r="AV103" s="54">
        <v>0</v>
      </c>
      <c r="AW103" s="141"/>
    </row>
    <row r="104" spans="1:55" s="479" customFormat="1" ht="49.5" customHeight="1" x14ac:dyDescent="0.25">
      <c r="A104" s="448" t="s">
        <v>688</v>
      </c>
      <c r="B104" s="505" t="s">
        <v>915</v>
      </c>
      <c r="C104" s="450"/>
      <c r="D104" s="450"/>
      <c r="E104" s="450"/>
      <c r="F104" s="450"/>
      <c r="G104" s="452"/>
      <c r="H104" s="452"/>
      <c r="I104" s="492"/>
      <c r="J104" s="492"/>
      <c r="K104" s="492"/>
      <c r="L104" s="492"/>
      <c r="M104" s="492"/>
      <c r="N104" s="492"/>
      <c r="O104" s="492"/>
      <c r="P104" s="492"/>
      <c r="Q104" s="492"/>
      <c r="R104" s="492"/>
      <c r="S104" s="492"/>
      <c r="T104" s="492"/>
      <c r="U104" s="492"/>
      <c r="V104" s="492"/>
      <c r="W104" s="492"/>
      <c r="X104" s="453"/>
      <c r="Y104" s="453"/>
      <c r="Z104" s="453"/>
      <c r="AA104" s="453"/>
      <c r="AB104" s="453"/>
      <c r="AC104" s="452"/>
      <c r="AD104" s="452"/>
      <c r="AE104" s="452"/>
      <c r="AF104" s="452"/>
      <c r="AG104" s="452"/>
      <c r="AH104" s="452"/>
      <c r="AI104" s="452"/>
      <c r="AJ104" s="454"/>
      <c r="AK104" s="454"/>
      <c r="AL104" s="454"/>
      <c r="AM104" s="454"/>
      <c r="AN104" s="454"/>
      <c r="AO104" s="454"/>
      <c r="AP104" s="454"/>
      <c r="AQ104" s="506">
        <v>540</v>
      </c>
      <c r="AR104" s="452"/>
      <c r="AS104" s="507">
        <v>540</v>
      </c>
      <c r="AT104" s="507">
        <v>540</v>
      </c>
      <c r="AU104" s="478"/>
      <c r="AV104" s="478"/>
      <c r="AW104" s="508"/>
      <c r="BB104" s="479">
        <v>1</v>
      </c>
      <c r="BC104" s="479" t="s">
        <v>733</v>
      </c>
    </row>
    <row r="105" spans="1:55" s="479" customFormat="1" ht="50.25" customHeight="1" x14ac:dyDescent="0.25">
      <c r="A105" s="448" t="s">
        <v>693</v>
      </c>
      <c r="B105" s="500" t="s">
        <v>916</v>
      </c>
      <c r="C105" s="450"/>
      <c r="D105" s="450"/>
      <c r="E105" s="450"/>
      <c r="F105" s="450"/>
      <c r="G105" s="452"/>
      <c r="H105" s="452"/>
      <c r="I105" s="492"/>
      <c r="J105" s="492"/>
      <c r="K105" s="492"/>
      <c r="L105" s="492"/>
      <c r="M105" s="492"/>
      <c r="N105" s="492"/>
      <c r="O105" s="492"/>
      <c r="P105" s="492"/>
      <c r="Q105" s="492"/>
      <c r="R105" s="492"/>
      <c r="S105" s="492"/>
      <c r="T105" s="492"/>
      <c r="U105" s="492"/>
      <c r="V105" s="492"/>
      <c r="W105" s="492"/>
      <c r="X105" s="453"/>
      <c r="Y105" s="453"/>
      <c r="Z105" s="453"/>
      <c r="AA105" s="453"/>
      <c r="AB105" s="453"/>
      <c r="AC105" s="452"/>
      <c r="AD105" s="452"/>
      <c r="AE105" s="452"/>
      <c r="AF105" s="452"/>
      <c r="AG105" s="452"/>
      <c r="AH105" s="452"/>
      <c r="AI105" s="452"/>
      <c r="AJ105" s="454"/>
      <c r="AK105" s="454"/>
      <c r="AL105" s="454"/>
      <c r="AM105" s="454"/>
      <c r="AN105" s="454"/>
      <c r="AO105" s="454"/>
      <c r="AP105" s="454"/>
      <c r="AQ105" s="506">
        <v>540</v>
      </c>
      <c r="AR105" s="452"/>
      <c r="AS105" s="507">
        <v>540</v>
      </c>
      <c r="AT105" s="507">
        <v>540</v>
      </c>
      <c r="AU105" s="509">
        <v>0</v>
      </c>
      <c r="AV105" s="509">
        <v>0</v>
      </c>
      <c r="AW105" s="510"/>
    </row>
    <row r="106" spans="1:55" ht="49.5" customHeight="1" x14ac:dyDescent="0.25">
      <c r="A106" s="448">
        <v>3</v>
      </c>
      <c r="B106" s="505" t="s">
        <v>917</v>
      </c>
      <c r="C106" s="450"/>
      <c r="D106" s="450"/>
      <c r="E106" s="450"/>
      <c r="F106" s="450"/>
      <c r="G106" s="452"/>
      <c r="H106" s="452"/>
      <c r="I106" s="492"/>
      <c r="J106" s="492"/>
      <c r="K106" s="492"/>
      <c r="L106" s="492"/>
      <c r="M106" s="492"/>
      <c r="N106" s="492"/>
      <c r="O106" s="492"/>
      <c r="P106" s="492"/>
      <c r="Q106" s="492"/>
      <c r="R106" s="492"/>
      <c r="S106" s="492"/>
      <c r="T106" s="492"/>
      <c r="U106" s="492"/>
      <c r="V106" s="492"/>
      <c r="W106" s="492"/>
      <c r="X106" s="453"/>
      <c r="Y106" s="453"/>
      <c r="Z106" s="453"/>
      <c r="AA106" s="453"/>
      <c r="AB106" s="453"/>
      <c r="AC106" s="452"/>
      <c r="AD106" s="452"/>
      <c r="AE106" s="452"/>
      <c r="AF106" s="452"/>
      <c r="AG106" s="452"/>
      <c r="AH106" s="452"/>
      <c r="AI106" s="452"/>
      <c r="AJ106" s="454"/>
      <c r="AK106" s="454"/>
      <c r="AL106" s="454"/>
      <c r="AM106" s="454"/>
      <c r="AN106" s="454"/>
      <c r="AO106" s="454"/>
      <c r="AP106" s="454"/>
      <c r="AQ106" s="511">
        <v>1190</v>
      </c>
      <c r="AR106" s="452"/>
      <c r="AS106" s="507">
        <v>540</v>
      </c>
      <c r="AT106" s="512">
        <v>1190</v>
      </c>
      <c r="AU106" s="499"/>
      <c r="AV106" s="499"/>
      <c r="AW106" s="147"/>
      <c r="AX106" s="119"/>
      <c r="BB106" s="119">
        <v>1</v>
      </c>
      <c r="BC106" s="119">
        <v>1</v>
      </c>
    </row>
    <row r="107" spans="1:55" ht="42" customHeight="1" x14ac:dyDescent="0.25">
      <c r="A107" s="426" t="s">
        <v>693</v>
      </c>
      <c r="B107" s="427" t="s">
        <v>53</v>
      </c>
      <c r="C107" s="464"/>
      <c r="D107" s="464"/>
      <c r="E107" s="464"/>
      <c r="F107" s="464"/>
      <c r="G107" s="465">
        <f>+G108+G109</f>
        <v>94609.114847000004</v>
      </c>
      <c r="H107" s="465">
        <f t="shared" ref="H107:X107" si="21">+H108+H109</f>
        <v>60718.3</v>
      </c>
      <c r="I107" s="465">
        <f t="shared" si="21"/>
        <v>0</v>
      </c>
      <c r="J107" s="465">
        <f t="shared" si="21"/>
        <v>0</v>
      </c>
      <c r="K107" s="465">
        <f t="shared" si="21"/>
        <v>0</v>
      </c>
      <c r="L107" s="465">
        <f t="shared" si="21"/>
        <v>0</v>
      </c>
      <c r="M107" s="465">
        <f t="shared" si="21"/>
        <v>0</v>
      </c>
      <c r="N107" s="465">
        <f t="shared" si="21"/>
        <v>0</v>
      </c>
      <c r="O107" s="465">
        <f t="shared" si="21"/>
        <v>0</v>
      </c>
      <c r="P107" s="465">
        <f t="shared" si="21"/>
        <v>0</v>
      </c>
      <c r="Q107" s="465">
        <f t="shared" si="21"/>
        <v>0</v>
      </c>
      <c r="R107" s="465">
        <f t="shared" si="21"/>
        <v>0</v>
      </c>
      <c r="S107" s="465">
        <f t="shared" si="21"/>
        <v>0</v>
      </c>
      <c r="T107" s="465">
        <f t="shared" si="21"/>
        <v>0</v>
      </c>
      <c r="U107" s="465">
        <f t="shared" si="21"/>
        <v>0</v>
      </c>
      <c r="V107" s="465">
        <f t="shared" si="21"/>
        <v>0</v>
      </c>
      <c r="W107" s="465">
        <f t="shared" si="21"/>
        <v>0</v>
      </c>
      <c r="X107" s="465">
        <f t="shared" si="21"/>
        <v>165369.79999999999</v>
      </c>
      <c r="Y107" s="465">
        <f>+Y108+Y109</f>
        <v>145663.79999999999</v>
      </c>
      <c r="Z107" s="465">
        <f t="shared" ref="Z107:AV107" si="22">+Z108+Z109</f>
        <v>0</v>
      </c>
      <c r="AA107" s="465">
        <f t="shared" si="22"/>
        <v>0</v>
      </c>
      <c r="AB107" s="465">
        <f t="shared" si="22"/>
        <v>0</v>
      </c>
      <c r="AC107" s="465">
        <f t="shared" si="22"/>
        <v>0</v>
      </c>
      <c r="AD107" s="465">
        <f t="shared" si="22"/>
        <v>18744</v>
      </c>
      <c r="AE107" s="465">
        <f t="shared" si="22"/>
        <v>5034</v>
      </c>
      <c r="AF107" s="465">
        <f t="shared" si="22"/>
        <v>0</v>
      </c>
      <c r="AG107" s="465">
        <f t="shared" si="22"/>
        <v>0</v>
      </c>
      <c r="AH107" s="465">
        <f t="shared" si="22"/>
        <v>13469</v>
      </c>
      <c r="AI107" s="465">
        <f t="shared" si="22"/>
        <v>13469</v>
      </c>
      <c r="AJ107" s="465">
        <f t="shared" si="22"/>
        <v>0</v>
      </c>
      <c r="AK107" s="465">
        <f t="shared" si="22"/>
        <v>51725.2</v>
      </c>
      <c r="AL107" s="465">
        <f t="shared" si="22"/>
        <v>51725</v>
      </c>
      <c r="AM107" s="466">
        <f t="shared" si="22"/>
        <v>235434</v>
      </c>
      <c r="AN107" s="466">
        <f t="shared" si="22"/>
        <v>145664</v>
      </c>
      <c r="AO107" s="466">
        <f t="shared" si="22"/>
        <v>0</v>
      </c>
      <c r="AP107" s="466">
        <f t="shared" si="22"/>
        <v>0</v>
      </c>
      <c r="AQ107" s="467">
        <f t="shared" si="22"/>
        <v>5838</v>
      </c>
      <c r="AR107" s="467">
        <f t="shared" si="22"/>
        <v>5838</v>
      </c>
      <c r="AS107" s="467">
        <f t="shared" si="22"/>
        <v>244434</v>
      </c>
      <c r="AT107" s="467">
        <f t="shared" si="22"/>
        <v>145664</v>
      </c>
      <c r="AU107" s="466">
        <f t="shared" si="22"/>
        <v>0</v>
      </c>
      <c r="AV107" s="466">
        <f t="shared" si="22"/>
        <v>0</v>
      </c>
      <c r="AW107" s="147"/>
      <c r="AX107" s="119"/>
      <c r="BB107" s="119">
        <v>1</v>
      </c>
      <c r="BC107" s="119">
        <v>2</v>
      </c>
    </row>
    <row r="108" spans="1:55" ht="47.25" x14ac:dyDescent="0.25">
      <c r="A108" s="469" t="s">
        <v>730</v>
      </c>
      <c r="B108" s="470" t="s">
        <v>731</v>
      </c>
      <c r="C108" s="471"/>
      <c r="D108" s="471"/>
      <c r="E108" s="471"/>
      <c r="F108" s="471"/>
      <c r="G108" s="472">
        <v>94609.114847000004</v>
      </c>
      <c r="H108" s="472">
        <v>60718.3</v>
      </c>
      <c r="I108" s="473"/>
      <c r="J108" s="473"/>
      <c r="K108" s="473"/>
      <c r="L108" s="473"/>
      <c r="M108" s="473"/>
      <c r="N108" s="473"/>
      <c r="O108" s="473"/>
      <c r="P108" s="473"/>
      <c r="Q108" s="473"/>
      <c r="R108" s="473"/>
      <c r="S108" s="473"/>
      <c r="T108" s="473"/>
      <c r="U108" s="473"/>
      <c r="V108" s="473"/>
      <c r="W108" s="473"/>
      <c r="X108" s="474">
        <v>24968.799999999999</v>
      </c>
      <c r="Y108" s="474">
        <v>15874.8</v>
      </c>
      <c r="Z108" s="474">
        <v>0</v>
      </c>
      <c r="AA108" s="474">
        <v>0</v>
      </c>
      <c r="AB108" s="474"/>
      <c r="AC108" s="472"/>
      <c r="AD108" s="472">
        <v>16754.8</v>
      </c>
      <c r="AE108" s="472">
        <v>5034</v>
      </c>
      <c r="AF108" s="472"/>
      <c r="AG108" s="472"/>
      <c r="AH108" s="472">
        <v>4843</v>
      </c>
      <c r="AI108" s="472">
        <v>4843</v>
      </c>
      <c r="AJ108" s="475">
        <v>0</v>
      </c>
      <c r="AK108" s="475">
        <f>IF(AN108-Y108&gt;0,AN108-Y108,0)</f>
        <v>2742.2000000000007</v>
      </c>
      <c r="AL108" s="475">
        <f>IF(Y108-AN108&gt;0,Y108-AN108,0)</f>
        <v>0</v>
      </c>
      <c r="AM108" s="475">
        <v>91704</v>
      </c>
      <c r="AN108" s="475">
        <v>18617</v>
      </c>
      <c r="AO108" s="475"/>
      <c r="AP108" s="475"/>
      <c r="AQ108" s="472"/>
      <c r="AR108" s="472"/>
      <c r="AS108" s="477">
        <v>91704</v>
      </c>
      <c r="AT108" s="477">
        <v>18617</v>
      </c>
      <c r="AU108" s="495"/>
      <c r="AV108" s="495"/>
      <c r="AW108" s="147"/>
      <c r="AX108" s="119"/>
      <c r="BB108" s="119">
        <v>1</v>
      </c>
      <c r="BC108" s="119">
        <v>2</v>
      </c>
    </row>
    <row r="109" spans="1:55" ht="31.5" x14ac:dyDescent="0.25">
      <c r="A109" s="469" t="s">
        <v>730</v>
      </c>
      <c r="B109" s="470" t="s">
        <v>735</v>
      </c>
      <c r="C109" s="471"/>
      <c r="D109" s="471"/>
      <c r="E109" s="471"/>
      <c r="F109" s="471"/>
      <c r="G109" s="472">
        <f>+SUM(G110:G143)</f>
        <v>0</v>
      </c>
      <c r="H109" s="472">
        <f>+SUM(H110:H143)</f>
        <v>0</v>
      </c>
      <c r="I109" s="472">
        <f t="shared" ref="I109:W109" si="23">+SUM(I110:I131)</f>
        <v>0</v>
      </c>
      <c r="J109" s="472">
        <f t="shared" si="23"/>
        <v>0</v>
      </c>
      <c r="K109" s="472">
        <f t="shared" si="23"/>
        <v>0</v>
      </c>
      <c r="L109" s="472">
        <f t="shared" si="23"/>
        <v>0</v>
      </c>
      <c r="M109" s="472">
        <f t="shared" si="23"/>
        <v>0</v>
      </c>
      <c r="N109" s="472">
        <f t="shared" si="23"/>
        <v>0</v>
      </c>
      <c r="O109" s="472">
        <f t="shared" si="23"/>
        <v>0</v>
      </c>
      <c r="P109" s="472">
        <f t="shared" si="23"/>
        <v>0</v>
      </c>
      <c r="Q109" s="472">
        <f t="shared" si="23"/>
        <v>0</v>
      </c>
      <c r="R109" s="472">
        <f t="shared" si="23"/>
        <v>0</v>
      </c>
      <c r="S109" s="472">
        <f t="shared" si="23"/>
        <v>0</v>
      </c>
      <c r="T109" s="472">
        <f t="shared" si="23"/>
        <v>0</v>
      </c>
      <c r="U109" s="472">
        <f t="shared" si="23"/>
        <v>0</v>
      </c>
      <c r="V109" s="472">
        <f t="shared" si="23"/>
        <v>0</v>
      </c>
      <c r="W109" s="472">
        <f t="shared" si="23"/>
        <v>0</v>
      </c>
      <c r="X109" s="472">
        <f>+SUM(X110:X143)</f>
        <v>140401</v>
      </c>
      <c r="Y109" s="472">
        <f>+SUM(Y110:Y143)</f>
        <v>129789</v>
      </c>
      <c r="Z109" s="472">
        <f>+SUM(Z110:Z143)</f>
        <v>0</v>
      </c>
      <c r="AA109" s="472">
        <f>+SUM(AA110:AA143)</f>
        <v>0</v>
      </c>
      <c r="AB109" s="472">
        <f t="shared" ref="AB109:AJ109" si="24">+SUM(AB110:AB131)</f>
        <v>0</v>
      </c>
      <c r="AC109" s="472">
        <f t="shared" si="24"/>
        <v>0</v>
      </c>
      <c r="AD109" s="472">
        <f t="shared" si="24"/>
        <v>1989.2</v>
      </c>
      <c r="AE109" s="472">
        <f t="shared" si="24"/>
        <v>0</v>
      </c>
      <c r="AF109" s="472">
        <f t="shared" si="24"/>
        <v>0</v>
      </c>
      <c r="AG109" s="472">
        <f t="shared" si="24"/>
        <v>0</v>
      </c>
      <c r="AH109" s="472">
        <f t="shared" si="24"/>
        <v>8626</v>
      </c>
      <c r="AI109" s="472">
        <f t="shared" si="24"/>
        <v>8626</v>
      </c>
      <c r="AJ109" s="472">
        <f t="shared" si="24"/>
        <v>0</v>
      </c>
      <c r="AK109" s="472">
        <f t="shared" ref="AK109:AL109" si="25">+SUM(AK110:AK143)</f>
        <v>48983</v>
      </c>
      <c r="AL109" s="472">
        <f t="shared" si="25"/>
        <v>51725</v>
      </c>
      <c r="AM109" s="490">
        <f t="shared" ref="AM109:AV109" si="26">+SUM(AM110:AM145)</f>
        <v>143730</v>
      </c>
      <c r="AN109" s="490">
        <f t="shared" si="26"/>
        <v>127047</v>
      </c>
      <c r="AO109" s="490">
        <f t="shared" si="26"/>
        <v>0</v>
      </c>
      <c r="AP109" s="490">
        <f t="shared" si="26"/>
        <v>0</v>
      </c>
      <c r="AQ109" s="477">
        <f t="shared" si="26"/>
        <v>5838</v>
      </c>
      <c r="AR109" s="477">
        <f t="shared" si="26"/>
        <v>5838</v>
      </c>
      <c r="AS109" s="477">
        <f t="shared" si="26"/>
        <v>152730</v>
      </c>
      <c r="AT109" s="477">
        <f t="shared" si="26"/>
        <v>127047</v>
      </c>
      <c r="AU109" s="490">
        <f t="shared" si="26"/>
        <v>0</v>
      </c>
      <c r="AV109" s="490">
        <f t="shared" si="26"/>
        <v>0</v>
      </c>
      <c r="AW109" s="147"/>
      <c r="AX109" s="119"/>
      <c r="BB109" s="119">
        <v>1</v>
      </c>
      <c r="BC109" s="119">
        <v>2</v>
      </c>
    </row>
    <row r="110" spans="1:55" ht="47.25" x14ac:dyDescent="0.25">
      <c r="A110" s="448" t="s">
        <v>688</v>
      </c>
      <c r="B110" s="449" t="s">
        <v>918</v>
      </c>
      <c r="C110" s="450" t="s">
        <v>54</v>
      </c>
      <c r="D110" s="450"/>
      <c r="E110" s="450" t="s">
        <v>55</v>
      </c>
      <c r="F110" s="450"/>
      <c r="G110" s="452"/>
      <c r="H110" s="452"/>
      <c r="I110" s="492"/>
      <c r="J110" s="492"/>
      <c r="K110" s="492"/>
      <c r="L110" s="492"/>
      <c r="M110" s="492"/>
      <c r="N110" s="492"/>
      <c r="O110" s="492"/>
      <c r="P110" s="492"/>
      <c r="Q110" s="492"/>
      <c r="R110" s="492"/>
      <c r="S110" s="492"/>
      <c r="T110" s="492"/>
      <c r="U110" s="492"/>
      <c r="V110" s="492"/>
      <c r="W110" s="492"/>
      <c r="X110" s="453">
        <v>2500</v>
      </c>
      <c r="Y110" s="453">
        <v>2000</v>
      </c>
      <c r="Z110" s="453"/>
      <c r="AA110" s="453"/>
      <c r="AB110" s="453"/>
      <c r="AC110" s="452"/>
      <c r="AD110" s="452">
        <v>455</v>
      </c>
      <c r="AE110" s="452"/>
      <c r="AF110" s="452"/>
      <c r="AG110" s="452"/>
      <c r="AH110" s="452">
        <v>500</v>
      </c>
      <c r="AI110" s="452">
        <v>500</v>
      </c>
      <c r="AJ110" s="454"/>
      <c r="AK110" s="454">
        <f>IF(AN110-Y110&gt;0,AN110-Y110,0)</f>
        <v>45</v>
      </c>
      <c r="AL110" s="454">
        <f>IF(Y110-AN110&gt;0,Y110-AN110,0)</f>
        <v>0</v>
      </c>
      <c r="AM110" s="513">
        <v>2500</v>
      </c>
      <c r="AN110" s="514">
        <v>2045</v>
      </c>
      <c r="AO110" s="454"/>
      <c r="AP110" s="454"/>
      <c r="AQ110" s="452"/>
      <c r="AR110" s="452">
        <v>164</v>
      </c>
      <c r="AS110" s="515">
        <v>2500</v>
      </c>
      <c r="AT110" s="516">
        <v>1881</v>
      </c>
      <c r="AU110" s="495"/>
      <c r="AV110" s="495"/>
      <c r="AW110" s="517"/>
      <c r="AX110" s="119"/>
      <c r="BB110" s="119">
        <v>1</v>
      </c>
      <c r="BC110" s="119">
        <v>2</v>
      </c>
    </row>
    <row r="111" spans="1:55" ht="31.5" x14ac:dyDescent="0.25">
      <c r="A111" s="448" t="s">
        <v>693</v>
      </c>
      <c r="B111" s="449" t="s">
        <v>919</v>
      </c>
      <c r="C111" s="450" t="s">
        <v>920</v>
      </c>
      <c r="D111" s="450"/>
      <c r="E111" s="450" t="s">
        <v>55</v>
      </c>
      <c r="F111" s="450"/>
      <c r="G111" s="452"/>
      <c r="H111" s="452"/>
      <c r="I111" s="492"/>
      <c r="J111" s="492"/>
      <c r="K111" s="492"/>
      <c r="L111" s="492"/>
      <c r="M111" s="492"/>
      <c r="N111" s="492"/>
      <c r="O111" s="492"/>
      <c r="P111" s="492"/>
      <c r="Q111" s="492"/>
      <c r="R111" s="492"/>
      <c r="S111" s="492"/>
      <c r="T111" s="492"/>
      <c r="U111" s="492"/>
      <c r="V111" s="492"/>
      <c r="W111" s="492"/>
      <c r="X111" s="453">
        <v>6117</v>
      </c>
      <c r="Y111" s="453">
        <v>6117</v>
      </c>
      <c r="Z111" s="453"/>
      <c r="AA111" s="453"/>
      <c r="AB111" s="453"/>
      <c r="AC111" s="452"/>
      <c r="AD111" s="452">
        <v>62</v>
      </c>
      <c r="AE111" s="452"/>
      <c r="AF111" s="452"/>
      <c r="AG111" s="452"/>
      <c r="AH111" s="452">
        <v>1200</v>
      </c>
      <c r="AI111" s="452">
        <v>1200</v>
      </c>
      <c r="AJ111" s="454"/>
      <c r="AK111" s="454">
        <f t="shared" ref="AK111:AK143" si="27">IF(AN111-Y111&gt;0,AN111-Y111,0)</f>
        <v>0</v>
      </c>
      <c r="AL111" s="454">
        <f t="shared" ref="AL111:AL143" si="28">IF(Y111-AN111&gt;0,Y111-AN111,0)</f>
        <v>829</v>
      </c>
      <c r="AM111" s="513">
        <v>5350</v>
      </c>
      <c r="AN111" s="514">
        <v>5288</v>
      </c>
      <c r="AO111" s="454"/>
      <c r="AP111" s="454"/>
      <c r="AQ111" s="452"/>
      <c r="AR111" s="452">
        <v>558</v>
      </c>
      <c r="AS111" s="515">
        <v>5350</v>
      </c>
      <c r="AT111" s="516">
        <v>4730</v>
      </c>
      <c r="AU111" s="495"/>
      <c r="AV111" s="495"/>
      <c r="AW111" s="147"/>
      <c r="AX111" s="119"/>
      <c r="BB111" s="119">
        <v>1</v>
      </c>
      <c r="BC111" s="119">
        <v>2</v>
      </c>
    </row>
    <row r="112" spans="1:55" ht="47.25" x14ac:dyDescent="0.25">
      <c r="A112" s="448" t="s">
        <v>696</v>
      </c>
      <c r="B112" s="449" t="s">
        <v>921</v>
      </c>
      <c r="C112" s="450" t="s">
        <v>922</v>
      </c>
      <c r="D112" s="450"/>
      <c r="E112" s="450" t="s">
        <v>55</v>
      </c>
      <c r="F112" s="450"/>
      <c r="G112" s="452"/>
      <c r="H112" s="452"/>
      <c r="I112" s="492"/>
      <c r="J112" s="492"/>
      <c r="K112" s="492"/>
      <c r="L112" s="492"/>
      <c r="M112" s="492"/>
      <c r="N112" s="492"/>
      <c r="O112" s="492"/>
      <c r="P112" s="492"/>
      <c r="Q112" s="492"/>
      <c r="R112" s="492"/>
      <c r="S112" s="492"/>
      <c r="T112" s="492"/>
      <c r="U112" s="492"/>
      <c r="V112" s="492"/>
      <c r="W112" s="492"/>
      <c r="X112" s="453">
        <v>5650</v>
      </c>
      <c r="Y112" s="453">
        <v>5650</v>
      </c>
      <c r="Z112" s="453"/>
      <c r="AA112" s="453"/>
      <c r="AB112" s="453"/>
      <c r="AC112" s="452"/>
      <c r="AD112" s="452">
        <v>135</v>
      </c>
      <c r="AE112" s="452"/>
      <c r="AF112" s="452"/>
      <c r="AG112" s="452"/>
      <c r="AH112" s="452">
        <v>1400</v>
      </c>
      <c r="AI112" s="452">
        <v>1400</v>
      </c>
      <c r="AJ112" s="454"/>
      <c r="AK112" s="454">
        <f t="shared" si="27"/>
        <v>0</v>
      </c>
      <c r="AL112" s="454">
        <f t="shared" si="28"/>
        <v>135</v>
      </c>
      <c r="AM112" s="513">
        <v>5650</v>
      </c>
      <c r="AN112" s="514">
        <v>5515</v>
      </c>
      <c r="AO112" s="454"/>
      <c r="AP112" s="454"/>
      <c r="AQ112" s="452"/>
      <c r="AR112" s="452">
        <v>160</v>
      </c>
      <c r="AS112" s="515">
        <v>5650</v>
      </c>
      <c r="AT112" s="516">
        <v>5355</v>
      </c>
      <c r="AU112" s="495"/>
      <c r="AV112" s="495"/>
      <c r="AW112" s="147"/>
      <c r="AX112" s="119"/>
      <c r="BB112" s="119">
        <v>1</v>
      </c>
      <c r="BC112" s="119">
        <v>1</v>
      </c>
    </row>
    <row r="113" spans="1:55" ht="31.5" x14ac:dyDescent="0.25">
      <c r="A113" s="448" t="s">
        <v>700</v>
      </c>
      <c r="B113" s="449" t="s">
        <v>923</v>
      </c>
      <c r="C113" s="450" t="s">
        <v>56</v>
      </c>
      <c r="D113" s="450"/>
      <c r="E113" s="450" t="s">
        <v>55</v>
      </c>
      <c r="F113" s="450"/>
      <c r="G113" s="452"/>
      <c r="H113" s="452"/>
      <c r="I113" s="492"/>
      <c r="J113" s="492"/>
      <c r="K113" s="492"/>
      <c r="L113" s="492"/>
      <c r="M113" s="492"/>
      <c r="N113" s="492"/>
      <c r="O113" s="492"/>
      <c r="P113" s="492"/>
      <c r="Q113" s="492"/>
      <c r="R113" s="492"/>
      <c r="S113" s="492"/>
      <c r="T113" s="492"/>
      <c r="U113" s="492"/>
      <c r="V113" s="492"/>
      <c r="W113" s="492"/>
      <c r="X113" s="453">
        <v>5500</v>
      </c>
      <c r="Y113" s="453">
        <v>5500</v>
      </c>
      <c r="Z113" s="453"/>
      <c r="AA113" s="453"/>
      <c r="AB113" s="453"/>
      <c r="AC113" s="452"/>
      <c r="AD113" s="452">
        <v>165</v>
      </c>
      <c r="AE113" s="452"/>
      <c r="AF113" s="452"/>
      <c r="AG113" s="452"/>
      <c r="AH113" s="452">
        <v>1362</v>
      </c>
      <c r="AI113" s="452">
        <v>1362</v>
      </c>
      <c r="AJ113" s="454"/>
      <c r="AK113" s="454">
        <f t="shared" si="27"/>
        <v>0</v>
      </c>
      <c r="AL113" s="454">
        <f t="shared" si="28"/>
        <v>165</v>
      </c>
      <c r="AM113" s="513">
        <v>5500</v>
      </c>
      <c r="AN113" s="514">
        <v>5335</v>
      </c>
      <c r="AO113" s="454"/>
      <c r="AP113" s="454"/>
      <c r="AQ113" s="452"/>
      <c r="AR113" s="452">
        <v>933</v>
      </c>
      <c r="AS113" s="515">
        <v>5500</v>
      </c>
      <c r="AT113" s="516">
        <v>4402</v>
      </c>
      <c r="AU113" s="495"/>
      <c r="AV113" s="495"/>
      <c r="AW113" s="517"/>
      <c r="AX113" s="119"/>
      <c r="BB113" s="119">
        <v>1</v>
      </c>
      <c r="BC113" s="119">
        <v>2</v>
      </c>
    </row>
    <row r="114" spans="1:55" ht="31.5" x14ac:dyDescent="0.25">
      <c r="A114" s="448" t="s">
        <v>704</v>
      </c>
      <c r="B114" s="449" t="s">
        <v>924</v>
      </c>
      <c r="C114" s="450" t="s">
        <v>925</v>
      </c>
      <c r="D114" s="450"/>
      <c r="E114" s="450" t="s">
        <v>57</v>
      </c>
      <c r="F114" s="450"/>
      <c r="G114" s="452"/>
      <c r="H114" s="452"/>
      <c r="I114" s="492"/>
      <c r="J114" s="492"/>
      <c r="K114" s="492"/>
      <c r="L114" s="492"/>
      <c r="M114" s="492"/>
      <c r="N114" s="492"/>
      <c r="O114" s="492"/>
      <c r="P114" s="492"/>
      <c r="Q114" s="492"/>
      <c r="R114" s="492"/>
      <c r="S114" s="492"/>
      <c r="T114" s="492"/>
      <c r="U114" s="492"/>
      <c r="V114" s="492"/>
      <c r="W114" s="492"/>
      <c r="X114" s="453">
        <v>9544</v>
      </c>
      <c r="Y114" s="453">
        <v>9544</v>
      </c>
      <c r="Z114" s="453"/>
      <c r="AA114" s="453"/>
      <c r="AB114" s="453"/>
      <c r="AC114" s="452"/>
      <c r="AD114" s="452">
        <v>260.2</v>
      </c>
      <c r="AE114" s="452"/>
      <c r="AF114" s="452"/>
      <c r="AG114" s="452"/>
      <c r="AH114" s="452">
        <v>1200</v>
      </c>
      <c r="AI114" s="452">
        <v>1200</v>
      </c>
      <c r="AJ114" s="454"/>
      <c r="AK114" s="454">
        <f t="shared" si="27"/>
        <v>0</v>
      </c>
      <c r="AL114" s="454">
        <f t="shared" si="28"/>
        <v>3700</v>
      </c>
      <c r="AM114" s="513">
        <v>10900</v>
      </c>
      <c r="AN114" s="514">
        <v>5844</v>
      </c>
      <c r="AO114" s="454"/>
      <c r="AP114" s="454"/>
      <c r="AQ114" s="452"/>
      <c r="AR114" s="452"/>
      <c r="AS114" s="515">
        <v>10900</v>
      </c>
      <c r="AT114" s="516">
        <v>5844</v>
      </c>
      <c r="AU114" s="495"/>
      <c r="AV114" s="495"/>
      <c r="AW114" s="147"/>
      <c r="AX114" s="119"/>
      <c r="BB114" s="119">
        <v>1</v>
      </c>
      <c r="BC114" s="119">
        <v>2</v>
      </c>
    </row>
    <row r="115" spans="1:55" ht="31.5" x14ac:dyDescent="0.25">
      <c r="A115" s="448" t="s">
        <v>709</v>
      </c>
      <c r="B115" s="449" t="s">
        <v>926</v>
      </c>
      <c r="C115" s="450" t="s">
        <v>927</v>
      </c>
      <c r="D115" s="450"/>
      <c r="E115" s="450" t="s">
        <v>55</v>
      </c>
      <c r="F115" s="450"/>
      <c r="G115" s="452"/>
      <c r="H115" s="452"/>
      <c r="I115" s="492"/>
      <c r="J115" s="492"/>
      <c r="K115" s="492"/>
      <c r="L115" s="492"/>
      <c r="M115" s="492"/>
      <c r="N115" s="492"/>
      <c r="O115" s="492"/>
      <c r="P115" s="492"/>
      <c r="Q115" s="492"/>
      <c r="R115" s="492"/>
      <c r="S115" s="492"/>
      <c r="T115" s="492"/>
      <c r="U115" s="492"/>
      <c r="V115" s="492"/>
      <c r="W115" s="492"/>
      <c r="X115" s="453">
        <v>5500</v>
      </c>
      <c r="Y115" s="453">
        <v>5500</v>
      </c>
      <c r="Z115" s="453"/>
      <c r="AA115" s="453"/>
      <c r="AB115" s="453"/>
      <c r="AC115" s="452"/>
      <c r="AD115" s="452">
        <v>715</v>
      </c>
      <c r="AE115" s="452"/>
      <c r="AF115" s="452"/>
      <c r="AG115" s="452"/>
      <c r="AH115" s="452">
        <v>1300</v>
      </c>
      <c r="AI115" s="452">
        <v>1300</v>
      </c>
      <c r="AJ115" s="454"/>
      <c r="AK115" s="454">
        <f t="shared" si="27"/>
        <v>0</v>
      </c>
      <c r="AL115" s="454">
        <f t="shared" si="28"/>
        <v>715</v>
      </c>
      <c r="AM115" s="513">
        <v>5500</v>
      </c>
      <c r="AN115" s="514">
        <v>4785</v>
      </c>
      <c r="AO115" s="454"/>
      <c r="AP115" s="454"/>
      <c r="AQ115" s="452"/>
      <c r="AR115" s="452">
        <v>1108</v>
      </c>
      <c r="AS115" s="515">
        <v>5500</v>
      </c>
      <c r="AT115" s="516">
        <v>3677</v>
      </c>
      <c r="AU115" s="495"/>
      <c r="AV115" s="495"/>
      <c r="AW115" s="147"/>
      <c r="AX115" s="119"/>
      <c r="BB115" s="119">
        <v>1</v>
      </c>
      <c r="BC115" s="119">
        <v>2</v>
      </c>
    </row>
    <row r="116" spans="1:55" ht="31.5" x14ac:dyDescent="0.25">
      <c r="A116" s="448" t="s">
        <v>714</v>
      </c>
      <c r="B116" s="449" t="s">
        <v>928</v>
      </c>
      <c r="C116" s="450" t="s">
        <v>929</v>
      </c>
      <c r="D116" s="450"/>
      <c r="E116" s="450" t="s">
        <v>55</v>
      </c>
      <c r="F116" s="450"/>
      <c r="G116" s="452"/>
      <c r="H116" s="452"/>
      <c r="I116" s="492"/>
      <c r="J116" s="492"/>
      <c r="K116" s="492"/>
      <c r="L116" s="492"/>
      <c r="M116" s="492"/>
      <c r="N116" s="492"/>
      <c r="O116" s="492"/>
      <c r="P116" s="492"/>
      <c r="Q116" s="492"/>
      <c r="R116" s="492"/>
      <c r="S116" s="492"/>
      <c r="T116" s="492"/>
      <c r="U116" s="492"/>
      <c r="V116" s="492"/>
      <c r="W116" s="492"/>
      <c r="X116" s="453">
        <v>3000</v>
      </c>
      <c r="Y116" s="453">
        <v>2700</v>
      </c>
      <c r="Z116" s="453"/>
      <c r="AA116" s="453"/>
      <c r="AB116" s="453"/>
      <c r="AC116" s="452"/>
      <c r="AD116" s="452">
        <v>197</v>
      </c>
      <c r="AE116" s="452"/>
      <c r="AF116" s="452"/>
      <c r="AG116" s="452"/>
      <c r="AH116" s="452">
        <v>700</v>
      </c>
      <c r="AI116" s="452">
        <v>700</v>
      </c>
      <c r="AJ116" s="454"/>
      <c r="AK116" s="454">
        <f t="shared" si="27"/>
        <v>103</v>
      </c>
      <c r="AL116" s="454">
        <f t="shared" si="28"/>
        <v>0</v>
      </c>
      <c r="AM116" s="513">
        <v>3000</v>
      </c>
      <c r="AN116" s="514">
        <v>2803</v>
      </c>
      <c r="AO116" s="454"/>
      <c r="AP116" s="454"/>
      <c r="AQ116" s="452"/>
      <c r="AR116" s="452">
        <v>192</v>
      </c>
      <c r="AS116" s="515">
        <v>3000</v>
      </c>
      <c r="AT116" s="516">
        <v>2611</v>
      </c>
      <c r="AU116" s="495"/>
      <c r="AV116" s="495"/>
      <c r="AW116" s="147"/>
      <c r="AX116" s="119"/>
      <c r="BB116" s="119">
        <v>1</v>
      </c>
      <c r="BC116" s="119">
        <v>2</v>
      </c>
    </row>
    <row r="117" spans="1:55" ht="31.5" x14ac:dyDescent="0.25">
      <c r="A117" s="448" t="s">
        <v>717</v>
      </c>
      <c r="B117" s="449" t="s">
        <v>930</v>
      </c>
      <c r="C117" s="450" t="s">
        <v>931</v>
      </c>
      <c r="D117" s="450"/>
      <c r="E117" s="450" t="s">
        <v>57</v>
      </c>
      <c r="F117" s="450"/>
      <c r="G117" s="452"/>
      <c r="H117" s="452"/>
      <c r="I117" s="492"/>
      <c r="J117" s="492"/>
      <c r="K117" s="492"/>
      <c r="L117" s="492"/>
      <c r="M117" s="492"/>
      <c r="N117" s="492"/>
      <c r="O117" s="492"/>
      <c r="P117" s="492"/>
      <c r="Q117" s="492"/>
      <c r="R117" s="492"/>
      <c r="S117" s="492"/>
      <c r="T117" s="492"/>
      <c r="U117" s="492"/>
      <c r="V117" s="492"/>
      <c r="W117" s="492"/>
      <c r="X117" s="453">
        <v>7000</v>
      </c>
      <c r="Y117" s="453">
        <v>7000</v>
      </c>
      <c r="Z117" s="453"/>
      <c r="AA117" s="453"/>
      <c r="AB117" s="453"/>
      <c r="AC117" s="452"/>
      <c r="AD117" s="452"/>
      <c r="AE117" s="452"/>
      <c r="AF117" s="452"/>
      <c r="AG117" s="452"/>
      <c r="AH117" s="452">
        <v>964</v>
      </c>
      <c r="AI117" s="452">
        <v>964</v>
      </c>
      <c r="AJ117" s="454"/>
      <c r="AK117" s="454">
        <f t="shared" si="27"/>
        <v>0</v>
      </c>
      <c r="AL117" s="454">
        <f t="shared" si="28"/>
        <v>1875</v>
      </c>
      <c r="AM117" s="513">
        <v>7000</v>
      </c>
      <c r="AN117" s="514">
        <v>5125</v>
      </c>
      <c r="AO117" s="454"/>
      <c r="AP117" s="454"/>
      <c r="AQ117" s="452"/>
      <c r="AR117" s="452">
        <v>410</v>
      </c>
      <c r="AS117" s="515">
        <v>7000</v>
      </c>
      <c r="AT117" s="516">
        <v>4715</v>
      </c>
      <c r="AU117" s="495"/>
      <c r="AV117" s="495"/>
      <c r="AW117" s="147"/>
      <c r="AX117" s="119"/>
      <c r="BB117" s="119">
        <v>1</v>
      </c>
      <c r="BC117" s="119">
        <v>2</v>
      </c>
    </row>
    <row r="118" spans="1:55" ht="47.25" x14ac:dyDescent="0.25">
      <c r="A118" s="448" t="s">
        <v>721</v>
      </c>
      <c r="B118" s="449" t="s">
        <v>932</v>
      </c>
      <c r="C118" s="450" t="s">
        <v>54</v>
      </c>
      <c r="D118" s="450"/>
      <c r="E118" s="450" t="s">
        <v>933</v>
      </c>
      <c r="F118" s="450"/>
      <c r="G118" s="452"/>
      <c r="H118" s="452"/>
      <c r="I118" s="492"/>
      <c r="J118" s="492"/>
      <c r="K118" s="492"/>
      <c r="L118" s="492"/>
      <c r="M118" s="492"/>
      <c r="N118" s="492"/>
      <c r="O118" s="492"/>
      <c r="P118" s="492"/>
      <c r="Q118" s="492"/>
      <c r="R118" s="492"/>
      <c r="S118" s="492"/>
      <c r="T118" s="492"/>
      <c r="U118" s="492"/>
      <c r="V118" s="492"/>
      <c r="W118" s="492"/>
      <c r="X118" s="453">
        <v>2500</v>
      </c>
      <c r="Y118" s="453">
        <v>2500</v>
      </c>
      <c r="Z118" s="453"/>
      <c r="AA118" s="453"/>
      <c r="AB118" s="453"/>
      <c r="AC118" s="452"/>
      <c r="AD118" s="452"/>
      <c r="AE118" s="452"/>
      <c r="AF118" s="452"/>
      <c r="AG118" s="452"/>
      <c r="AH118" s="452"/>
      <c r="AI118" s="452"/>
      <c r="AJ118" s="454"/>
      <c r="AK118" s="454">
        <f t="shared" si="27"/>
        <v>0</v>
      </c>
      <c r="AL118" s="454">
        <f t="shared" si="28"/>
        <v>1400</v>
      </c>
      <c r="AM118" s="513">
        <v>1150</v>
      </c>
      <c r="AN118" s="513">
        <v>1100</v>
      </c>
      <c r="AO118" s="454"/>
      <c r="AP118" s="454"/>
      <c r="AQ118" s="452"/>
      <c r="AR118" s="452">
        <v>16</v>
      </c>
      <c r="AS118" s="515">
        <v>1150</v>
      </c>
      <c r="AT118" s="516">
        <v>1084</v>
      </c>
      <c r="AU118" s="495"/>
      <c r="AV118" s="495"/>
      <c r="AW118" s="147"/>
      <c r="AX118" s="119"/>
      <c r="BB118" s="119">
        <v>1</v>
      </c>
      <c r="BC118" s="119">
        <v>2</v>
      </c>
    </row>
    <row r="119" spans="1:55" ht="47.25" x14ac:dyDescent="0.25">
      <c r="A119" s="448" t="s">
        <v>768</v>
      </c>
      <c r="B119" s="449" t="s">
        <v>934</v>
      </c>
      <c r="C119" s="450" t="s">
        <v>54</v>
      </c>
      <c r="D119" s="450"/>
      <c r="E119" s="450">
        <v>2019</v>
      </c>
      <c r="F119" s="450"/>
      <c r="G119" s="452"/>
      <c r="H119" s="452"/>
      <c r="I119" s="492"/>
      <c r="J119" s="492"/>
      <c r="K119" s="492"/>
      <c r="L119" s="492"/>
      <c r="M119" s="492"/>
      <c r="N119" s="492"/>
      <c r="O119" s="492"/>
      <c r="P119" s="492"/>
      <c r="Q119" s="492"/>
      <c r="R119" s="492"/>
      <c r="S119" s="492"/>
      <c r="T119" s="492"/>
      <c r="U119" s="492"/>
      <c r="V119" s="492"/>
      <c r="W119" s="492"/>
      <c r="X119" s="453">
        <v>3000</v>
      </c>
      <c r="Y119" s="453">
        <v>3000</v>
      </c>
      <c r="Z119" s="453"/>
      <c r="AA119" s="453"/>
      <c r="AB119" s="453"/>
      <c r="AC119" s="452"/>
      <c r="AD119" s="452"/>
      <c r="AE119" s="452"/>
      <c r="AF119" s="452"/>
      <c r="AG119" s="452"/>
      <c r="AH119" s="452"/>
      <c r="AI119" s="452"/>
      <c r="AJ119" s="454"/>
      <c r="AK119" s="454">
        <f t="shared" si="27"/>
        <v>0</v>
      </c>
      <c r="AL119" s="454">
        <f t="shared" si="28"/>
        <v>1620</v>
      </c>
      <c r="AM119" s="513">
        <v>1400</v>
      </c>
      <c r="AN119" s="513">
        <v>1380</v>
      </c>
      <c r="AO119" s="454"/>
      <c r="AP119" s="454"/>
      <c r="AQ119" s="452"/>
      <c r="AR119" s="452">
        <v>315</v>
      </c>
      <c r="AS119" s="515">
        <v>1400</v>
      </c>
      <c r="AT119" s="516">
        <v>1065</v>
      </c>
      <c r="AU119" s="495"/>
      <c r="AV119" s="495"/>
      <c r="AW119" s="147"/>
      <c r="AX119" s="119"/>
      <c r="BB119" s="119">
        <v>1</v>
      </c>
      <c r="BC119" s="119">
        <v>2</v>
      </c>
    </row>
    <row r="120" spans="1:55" ht="31.5" x14ac:dyDescent="0.25">
      <c r="A120" s="448" t="s">
        <v>771</v>
      </c>
      <c r="B120" s="449" t="s">
        <v>935</v>
      </c>
      <c r="C120" s="450" t="s">
        <v>936</v>
      </c>
      <c r="D120" s="450"/>
      <c r="E120" s="450" t="s">
        <v>933</v>
      </c>
      <c r="F120" s="450"/>
      <c r="G120" s="452"/>
      <c r="H120" s="452"/>
      <c r="I120" s="492"/>
      <c r="J120" s="492"/>
      <c r="K120" s="492"/>
      <c r="L120" s="492"/>
      <c r="M120" s="492"/>
      <c r="N120" s="492"/>
      <c r="O120" s="492"/>
      <c r="P120" s="492"/>
      <c r="Q120" s="492"/>
      <c r="R120" s="492"/>
      <c r="S120" s="492"/>
      <c r="T120" s="492"/>
      <c r="U120" s="492"/>
      <c r="V120" s="492"/>
      <c r="W120" s="492"/>
      <c r="X120" s="453">
        <v>5000</v>
      </c>
      <c r="Y120" s="453">
        <v>5000</v>
      </c>
      <c r="Z120" s="453"/>
      <c r="AA120" s="453"/>
      <c r="AB120" s="453"/>
      <c r="AC120" s="452"/>
      <c r="AD120" s="452"/>
      <c r="AE120" s="452"/>
      <c r="AF120" s="452"/>
      <c r="AG120" s="452"/>
      <c r="AH120" s="452"/>
      <c r="AI120" s="452"/>
      <c r="AJ120" s="454"/>
      <c r="AK120" s="454">
        <f t="shared" si="27"/>
        <v>0</v>
      </c>
      <c r="AL120" s="454">
        <f t="shared" si="28"/>
        <v>1600</v>
      </c>
      <c r="AM120" s="513">
        <v>3430</v>
      </c>
      <c r="AN120" s="513">
        <v>3400</v>
      </c>
      <c r="AO120" s="454"/>
      <c r="AP120" s="454"/>
      <c r="AQ120" s="452"/>
      <c r="AR120" s="452">
        <v>637</v>
      </c>
      <c r="AS120" s="515">
        <v>3430</v>
      </c>
      <c r="AT120" s="516">
        <v>2763</v>
      </c>
      <c r="AU120" s="495"/>
      <c r="AV120" s="495"/>
      <c r="AW120" s="147"/>
      <c r="AX120" s="119"/>
      <c r="BB120" s="119">
        <v>1</v>
      </c>
      <c r="BC120" s="119">
        <v>2</v>
      </c>
    </row>
    <row r="121" spans="1:55" ht="47.25" x14ac:dyDescent="0.25">
      <c r="A121" s="448" t="s">
        <v>774</v>
      </c>
      <c r="B121" s="449" t="s">
        <v>937</v>
      </c>
      <c r="C121" s="450" t="s">
        <v>938</v>
      </c>
      <c r="D121" s="450"/>
      <c r="E121" s="450">
        <v>2019</v>
      </c>
      <c r="F121" s="450"/>
      <c r="G121" s="452"/>
      <c r="H121" s="452"/>
      <c r="I121" s="492"/>
      <c r="J121" s="492"/>
      <c r="K121" s="492"/>
      <c r="L121" s="492"/>
      <c r="M121" s="492"/>
      <c r="N121" s="492"/>
      <c r="O121" s="492"/>
      <c r="P121" s="492"/>
      <c r="Q121" s="492"/>
      <c r="R121" s="492"/>
      <c r="S121" s="492"/>
      <c r="T121" s="492"/>
      <c r="U121" s="492"/>
      <c r="V121" s="492"/>
      <c r="W121" s="492"/>
      <c r="X121" s="453">
        <v>3500</v>
      </c>
      <c r="Y121" s="453">
        <v>3500</v>
      </c>
      <c r="Z121" s="453"/>
      <c r="AA121" s="453"/>
      <c r="AB121" s="453"/>
      <c r="AC121" s="452"/>
      <c r="AD121" s="452"/>
      <c r="AE121" s="452"/>
      <c r="AF121" s="452"/>
      <c r="AG121" s="452"/>
      <c r="AH121" s="452"/>
      <c r="AI121" s="452"/>
      <c r="AJ121" s="454"/>
      <c r="AK121" s="454">
        <f t="shared" si="27"/>
        <v>0</v>
      </c>
      <c r="AL121" s="454">
        <f t="shared" si="28"/>
        <v>1223</v>
      </c>
      <c r="AM121" s="513">
        <v>2300</v>
      </c>
      <c r="AN121" s="513">
        <v>2277</v>
      </c>
      <c r="AO121" s="454"/>
      <c r="AP121" s="454"/>
      <c r="AQ121" s="452"/>
      <c r="AR121" s="452">
        <v>222</v>
      </c>
      <c r="AS121" s="515">
        <v>2300</v>
      </c>
      <c r="AT121" s="516">
        <v>2055</v>
      </c>
      <c r="AU121" s="495"/>
      <c r="AV121" s="495"/>
      <c r="AW121" s="147"/>
      <c r="AX121" s="119"/>
      <c r="BB121" s="119">
        <v>1</v>
      </c>
      <c r="BC121" s="119">
        <v>2</v>
      </c>
    </row>
    <row r="122" spans="1:55" ht="31.5" x14ac:dyDescent="0.25">
      <c r="A122" s="448" t="s">
        <v>777</v>
      </c>
      <c r="B122" s="449" t="s">
        <v>939</v>
      </c>
      <c r="C122" s="450" t="s">
        <v>56</v>
      </c>
      <c r="D122" s="450"/>
      <c r="E122" s="450">
        <v>2019</v>
      </c>
      <c r="F122" s="450"/>
      <c r="G122" s="452"/>
      <c r="H122" s="452"/>
      <c r="I122" s="492"/>
      <c r="J122" s="492"/>
      <c r="K122" s="492"/>
      <c r="L122" s="492"/>
      <c r="M122" s="492"/>
      <c r="N122" s="492"/>
      <c r="O122" s="492"/>
      <c r="P122" s="492"/>
      <c r="Q122" s="492"/>
      <c r="R122" s="492"/>
      <c r="S122" s="492"/>
      <c r="T122" s="492"/>
      <c r="U122" s="492"/>
      <c r="V122" s="492"/>
      <c r="W122" s="492"/>
      <c r="X122" s="453">
        <v>3500</v>
      </c>
      <c r="Y122" s="453">
        <v>3500</v>
      </c>
      <c r="Z122" s="453"/>
      <c r="AA122" s="453"/>
      <c r="AB122" s="453"/>
      <c r="AC122" s="452"/>
      <c r="AD122" s="452"/>
      <c r="AE122" s="452"/>
      <c r="AF122" s="452"/>
      <c r="AG122" s="452"/>
      <c r="AH122" s="452"/>
      <c r="AI122" s="452"/>
      <c r="AJ122" s="454"/>
      <c r="AK122" s="454">
        <f t="shared" si="27"/>
        <v>0</v>
      </c>
      <c r="AL122" s="454">
        <f t="shared" si="28"/>
        <v>1678</v>
      </c>
      <c r="AM122" s="513">
        <v>1850</v>
      </c>
      <c r="AN122" s="513">
        <v>1822</v>
      </c>
      <c r="AO122" s="454"/>
      <c r="AP122" s="454"/>
      <c r="AQ122" s="452"/>
      <c r="AR122" s="452"/>
      <c r="AS122" s="515">
        <v>1850</v>
      </c>
      <c r="AT122" s="515">
        <v>1822</v>
      </c>
      <c r="AU122" s="495"/>
      <c r="AV122" s="495"/>
      <c r="AW122" s="147"/>
      <c r="AX122" s="119"/>
      <c r="BB122" s="119">
        <v>1</v>
      </c>
      <c r="BC122" s="119">
        <v>1</v>
      </c>
    </row>
    <row r="123" spans="1:55" ht="47.25" x14ac:dyDescent="0.25">
      <c r="A123" s="448" t="s">
        <v>781</v>
      </c>
      <c r="B123" s="449" t="s">
        <v>940</v>
      </c>
      <c r="C123" s="450" t="s">
        <v>58</v>
      </c>
      <c r="D123" s="450"/>
      <c r="E123" s="450">
        <v>2019</v>
      </c>
      <c r="F123" s="450"/>
      <c r="G123" s="452"/>
      <c r="H123" s="452"/>
      <c r="I123" s="492"/>
      <c r="J123" s="492"/>
      <c r="K123" s="492"/>
      <c r="L123" s="492"/>
      <c r="M123" s="492"/>
      <c r="N123" s="492"/>
      <c r="O123" s="492"/>
      <c r="P123" s="492"/>
      <c r="Q123" s="492"/>
      <c r="R123" s="492"/>
      <c r="S123" s="492"/>
      <c r="T123" s="492"/>
      <c r="U123" s="492"/>
      <c r="V123" s="492"/>
      <c r="W123" s="492"/>
      <c r="X123" s="453">
        <v>3500</v>
      </c>
      <c r="Y123" s="453">
        <v>3500</v>
      </c>
      <c r="Z123" s="453"/>
      <c r="AA123" s="453"/>
      <c r="AB123" s="453"/>
      <c r="AC123" s="452"/>
      <c r="AD123" s="452"/>
      <c r="AE123" s="452"/>
      <c r="AF123" s="452"/>
      <c r="AG123" s="452"/>
      <c r="AH123" s="452"/>
      <c r="AI123" s="452"/>
      <c r="AJ123" s="454"/>
      <c r="AK123" s="454">
        <f t="shared" si="27"/>
        <v>0</v>
      </c>
      <c r="AL123" s="454">
        <f t="shared" si="28"/>
        <v>1252</v>
      </c>
      <c r="AM123" s="513">
        <v>2300</v>
      </c>
      <c r="AN123" s="513">
        <v>2248</v>
      </c>
      <c r="AO123" s="454"/>
      <c r="AP123" s="454"/>
      <c r="AQ123" s="452"/>
      <c r="AR123" s="452">
        <v>212</v>
      </c>
      <c r="AS123" s="515">
        <v>2300</v>
      </c>
      <c r="AT123" s="516">
        <v>2036</v>
      </c>
      <c r="AU123" s="495"/>
      <c r="AV123" s="495"/>
      <c r="AW123" s="147"/>
      <c r="AX123" s="119"/>
      <c r="BB123" s="119">
        <v>1</v>
      </c>
      <c r="BC123" s="119">
        <v>2</v>
      </c>
    </row>
    <row r="124" spans="1:55" ht="47.25" x14ac:dyDescent="0.25">
      <c r="A124" s="448" t="s">
        <v>784</v>
      </c>
      <c r="B124" s="449" t="s">
        <v>941</v>
      </c>
      <c r="C124" s="450" t="s">
        <v>58</v>
      </c>
      <c r="D124" s="450"/>
      <c r="E124" s="450">
        <v>2019</v>
      </c>
      <c r="F124" s="450"/>
      <c r="G124" s="452"/>
      <c r="H124" s="452"/>
      <c r="I124" s="492"/>
      <c r="J124" s="492"/>
      <c r="K124" s="492"/>
      <c r="L124" s="492"/>
      <c r="M124" s="492"/>
      <c r="N124" s="492"/>
      <c r="O124" s="492"/>
      <c r="P124" s="492"/>
      <c r="Q124" s="492"/>
      <c r="R124" s="492"/>
      <c r="S124" s="492"/>
      <c r="T124" s="492"/>
      <c r="U124" s="492"/>
      <c r="V124" s="492"/>
      <c r="W124" s="492"/>
      <c r="X124" s="453">
        <v>3500</v>
      </c>
      <c r="Y124" s="453">
        <v>3500</v>
      </c>
      <c r="Z124" s="453"/>
      <c r="AA124" s="453"/>
      <c r="AB124" s="453"/>
      <c r="AC124" s="452"/>
      <c r="AD124" s="452"/>
      <c r="AE124" s="452"/>
      <c r="AF124" s="452"/>
      <c r="AG124" s="452"/>
      <c r="AH124" s="452"/>
      <c r="AI124" s="452"/>
      <c r="AJ124" s="454"/>
      <c r="AK124" s="454">
        <f t="shared" si="27"/>
        <v>0</v>
      </c>
      <c r="AL124" s="454">
        <f t="shared" si="28"/>
        <v>1512</v>
      </c>
      <c r="AM124" s="513">
        <v>2050</v>
      </c>
      <c r="AN124" s="513">
        <v>1988</v>
      </c>
      <c r="AO124" s="454"/>
      <c r="AP124" s="454"/>
      <c r="AQ124" s="452"/>
      <c r="AR124" s="452">
        <v>5</v>
      </c>
      <c r="AS124" s="515">
        <v>2050</v>
      </c>
      <c r="AT124" s="516">
        <v>1983</v>
      </c>
      <c r="AU124" s="495"/>
      <c r="AV124" s="495"/>
      <c r="AW124" s="147"/>
      <c r="AX124" s="119"/>
      <c r="BB124" s="119">
        <v>1</v>
      </c>
      <c r="BC124" s="119">
        <v>2</v>
      </c>
    </row>
    <row r="125" spans="1:55" ht="31.5" x14ac:dyDescent="0.25">
      <c r="A125" s="448" t="s">
        <v>787</v>
      </c>
      <c r="B125" s="449" t="s">
        <v>942</v>
      </c>
      <c r="C125" s="450" t="s">
        <v>927</v>
      </c>
      <c r="D125" s="450"/>
      <c r="E125" s="450">
        <v>2019</v>
      </c>
      <c r="F125" s="450"/>
      <c r="G125" s="452"/>
      <c r="H125" s="452"/>
      <c r="I125" s="492"/>
      <c r="J125" s="492"/>
      <c r="K125" s="492"/>
      <c r="L125" s="492"/>
      <c r="M125" s="492"/>
      <c r="N125" s="492"/>
      <c r="O125" s="492"/>
      <c r="P125" s="492"/>
      <c r="Q125" s="492"/>
      <c r="R125" s="492"/>
      <c r="S125" s="492"/>
      <c r="T125" s="492"/>
      <c r="U125" s="492"/>
      <c r="V125" s="492"/>
      <c r="W125" s="492"/>
      <c r="X125" s="453">
        <v>3500</v>
      </c>
      <c r="Y125" s="453">
        <v>3500</v>
      </c>
      <c r="Z125" s="453"/>
      <c r="AA125" s="453"/>
      <c r="AB125" s="453"/>
      <c r="AC125" s="452"/>
      <c r="AD125" s="452"/>
      <c r="AE125" s="452"/>
      <c r="AF125" s="452"/>
      <c r="AG125" s="452"/>
      <c r="AH125" s="452"/>
      <c r="AI125" s="452"/>
      <c r="AJ125" s="454"/>
      <c r="AK125" s="454">
        <f t="shared" si="27"/>
        <v>0</v>
      </c>
      <c r="AL125" s="454">
        <f t="shared" si="28"/>
        <v>1737</v>
      </c>
      <c r="AM125" s="513">
        <v>1800</v>
      </c>
      <c r="AN125" s="513">
        <v>1763</v>
      </c>
      <c r="AO125" s="454"/>
      <c r="AP125" s="454"/>
      <c r="AQ125" s="452"/>
      <c r="AR125" s="452">
        <v>55</v>
      </c>
      <c r="AS125" s="515">
        <v>1800</v>
      </c>
      <c r="AT125" s="516">
        <v>1708</v>
      </c>
      <c r="AU125" s="495"/>
      <c r="AV125" s="495"/>
      <c r="AW125" s="147"/>
      <c r="AX125" s="119"/>
      <c r="BB125" s="119">
        <v>1</v>
      </c>
      <c r="BC125" s="119">
        <v>2</v>
      </c>
    </row>
    <row r="126" spans="1:55" ht="47.25" x14ac:dyDescent="0.25">
      <c r="A126" s="448" t="s">
        <v>791</v>
      </c>
      <c r="B126" s="449" t="s">
        <v>943</v>
      </c>
      <c r="C126" s="450" t="s">
        <v>59</v>
      </c>
      <c r="D126" s="450"/>
      <c r="E126" s="450">
        <v>2019</v>
      </c>
      <c r="F126" s="450"/>
      <c r="G126" s="452"/>
      <c r="H126" s="452"/>
      <c r="I126" s="492"/>
      <c r="J126" s="492"/>
      <c r="K126" s="492"/>
      <c r="L126" s="492"/>
      <c r="M126" s="492"/>
      <c r="N126" s="492"/>
      <c r="O126" s="492"/>
      <c r="P126" s="492"/>
      <c r="Q126" s="492"/>
      <c r="R126" s="492"/>
      <c r="S126" s="492"/>
      <c r="T126" s="492"/>
      <c r="U126" s="492"/>
      <c r="V126" s="492"/>
      <c r="W126" s="492"/>
      <c r="X126" s="453">
        <v>6500</v>
      </c>
      <c r="Y126" s="453">
        <v>6500</v>
      </c>
      <c r="Z126" s="453"/>
      <c r="AA126" s="453"/>
      <c r="AB126" s="453"/>
      <c r="AC126" s="452"/>
      <c r="AD126" s="452"/>
      <c r="AE126" s="452"/>
      <c r="AF126" s="452"/>
      <c r="AG126" s="452"/>
      <c r="AH126" s="452"/>
      <c r="AI126" s="452"/>
      <c r="AJ126" s="454"/>
      <c r="AK126" s="454">
        <f t="shared" si="27"/>
        <v>280</v>
      </c>
      <c r="AL126" s="454">
        <f t="shared" si="28"/>
        <v>0</v>
      </c>
      <c r="AM126" s="513">
        <v>7000</v>
      </c>
      <c r="AN126" s="513">
        <v>6780</v>
      </c>
      <c r="AO126" s="454"/>
      <c r="AP126" s="454"/>
      <c r="AQ126" s="452"/>
      <c r="AR126" s="452"/>
      <c r="AS126" s="515">
        <v>7000</v>
      </c>
      <c r="AT126" s="515">
        <v>6780</v>
      </c>
      <c r="AU126" s="495"/>
      <c r="AV126" s="495"/>
      <c r="AW126" s="147"/>
      <c r="AX126" s="119"/>
      <c r="BB126" s="119">
        <v>1</v>
      </c>
      <c r="BC126" s="119">
        <v>2</v>
      </c>
    </row>
    <row r="127" spans="1:55" ht="31.5" x14ac:dyDescent="0.25">
      <c r="A127" s="448" t="s">
        <v>795</v>
      </c>
      <c r="B127" s="449" t="s">
        <v>944</v>
      </c>
      <c r="C127" s="450" t="s">
        <v>945</v>
      </c>
      <c r="D127" s="450"/>
      <c r="E127" s="450" t="s">
        <v>933</v>
      </c>
      <c r="F127" s="450"/>
      <c r="G127" s="452"/>
      <c r="H127" s="452"/>
      <c r="I127" s="492"/>
      <c r="J127" s="492"/>
      <c r="K127" s="492"/>
      <c r="L127" s="492"/>
      <c r="M127" s="492"/>
      <c r="N127" s="492"/>
      <c r="O127" s="492"/>
      <c r="P127" s="492"/>
      <c r="Q127" s="492"/>
      <c r="R127" s="492"/>
      <c r="S127" s="492"/>
      <c r="T127" s="492"/>
      <c r="U127" s="492"/>
      <c r="V127" s="492"/>
      <c r="W127" s="492"/>
      <c r="X127" s="453">
        <v>3500</v>
      </c>
      <c r="Y127" s="453">
        <v>3500</v>
      </c>
      <c r="Z127" s="453"/>
      <c r="AA127" s="453"/>
      <c r="AB127" s="453"/>
      <c r="AC127" s="452"/>
      <c r="AD127" s="452"/>
      <c r="AE127" s="452"/>
      <c r="AF127" s="452"/>
      <c r="AG127" s="452"/>
      <c r="AH127" s="452"/>
      <c r="AI127" s="452"/>
      <c r="AJ127" s="454"/>
      <c r="AK127" s="454">
        <f t="shared" si="27"/>
        <v>0</v>
      </c>
      <c r="AL127" s="454">
        <f t="shared" si="28"/>
        <v>1500</v>
      </c>
      <c r="AM127" s="513">
        <v>2050</v>
      </c>
      <c r="AN127" s="513">
        <v>2000</v>
      </c>
      <c r="AO127" s="454"/>
      <c r="AP127" s="454"/>
      <c r="AQ127" s="452"/>
      <c r="AR127" s="452"/>
      <c r="AS127" s="515">
        <v>2050</v>
      </c>
      <c r="AT127" s="515">
        <v>2000</v>
      </c>
      <c r="AU127" s="495"/>
      <c r="AV127" s="495"/>
      <c r="AW127" s="10"/>
      <c r="AX127" s="119"/>
      <c r="BB127" s="119">
        <v>1</v>
      </c>
      <c r="BC127" s="119">
        <v>6</v>
      </c>
    </row>
    <row r="128" spans="1:55" ht="47.25" x14ac:dyDescent="0.25">
      <c r="A128" s="448" t="s">
        <v>798</v>
      </c>
      <c r="B128" s="449" t="s">
        <v>946</v>
      </c>
      <c r="C128" s="450" t="s">
        <v>929</v>
      </c>
      <c r="D128" s="450"/>
      <c r="E128" s="450" t="s">
        <v>933</v>
      </c>
      <c r="F128" s="450"/>
      <c r="G128" s="452"/>
      <c r="H128" s="452"/>
      <c r="I128" s="492"/>
      <c r="J128" s="492"/>
      <c r="K128" s="492"/>
      <c r="L128" s="492"/>
      <c r="M128" s="492"/>
      <c r="N128" s="492"/>
      <c r="O128" s="492"/>
      <c r="P128" s="492"/>
      <c r="Q128" s="492"/>
      <c r="R128" s="492"/>
      <c r="S128" s="492"/>
      <c r="T128" s="492"/>
      <c r="U128" s="492"/>
      <c r="V128" s="492"/>
      <c r="W128" s="492"/>
      <c r="X128" s="453">
        <v>4000</v>
      </c>
      <c r="Y128" s="453">
        <v>4000</v>
      </c>
      <c r="Z128" s="453"/>
      <c r="AA128" s="453"/>
      <c r="AB128" s="453"/>
      <c r="AC128" s="452"/>
      <c r="AD128" s="452"/>
      <c r="AE128" s="452"/>
      <c r="AF128" s="452"/>
      <c r="AG128" s="452"/>
      <c r="AH128" s="452"/>
      <c r="AI128" s="452"/>
      <c r="AJ128" s="454"/>
      <c r="AK128" s="454">
        <f t="shared" si="27"/>
        <v>0</v>
      </c>
      <c r="AL128" s="454">
        <f t="shared" si="28"/>
        <v>1000</v>
      </c>
      <c r="AM128" s="513">
        <v>3050</v>
      </c>
      <c r="AN128" s="513">
        <v>3000</v>
      </c>
      <c r="AO128" s="454"/>
      <c r="AP128" s="454"/>
      <c r="AQ128" s="452"/>
      <c r="AR128" s="452">
        <v>345</v>
      </c>
      <c r="AS128" s="515">
        <v>3050</v>
      </c>
      <c r="AT128" s="516">
        <v>2655</v>
      </c>
      <c r="AU128" s="495"/>
      <c r="AV128" s="495"/>
      <c r="AW128" s="517"/>
      <c r="AX128" s="119"/>
      <c r="BB128" s="119">
        <v>1</v>
      </c>
      <c r="BC128" s="119">
        <v>3</v>
      </c>
    </row>
    <row r="129" spans="1:55" ht="31.5" x14ac:dyDescent="0.25">
      <c r="A129" s="448" t="s">
        <v>801</v>
      </c>
      <c r="B129" s="449" t="s">
        <v>947</v>
      </c>
      <c r="C129" s="450" t="s">
        <v>936</v>
      </c>
      <c r="D129" s="450"/>
      <c r="E129" s="450">
        <v>2019</v>
      </c>
      <c r="F129" s="450"/>
      <c r="G129" s="452"/>
      <c r="H129" s="452"/>
      <c r="I129" s="492"/>
      <c r="J129" s="492"/>
      <c r="K129" s="492"/>
      <c r="L129" s="492"/>
      <c r="M129" s="492"/>
      <c r="N129" s="492"/>
      <c r="O129" s="492"/>
      <c r="P129" s="492"/>
      <c r="Q129" s="492"/>
      <c r="R129" s="492"/>
      <c r="S129" s="492"/>
      <c r="T129" s="492"/>
      <c r="U129" s="492"/>
      <c r="V129" s="492"/>
      <c r="W129" s="492"/>
      <c r="X129" s="453">
        <v>3500</v>
      </c>
      <c r="Y129" s="453">
        <v>3500</v>
      </c>
      <c r="Z129" s="453"/>
      <c r="AA129" s="453"/>
      <c r="AB129" s="453"/>
      <c r="AC129" s="452"/>
      <c r="AD129" s="452"/>
      <c r="AE129" s="452"/>
      <c r="AF129" s="452"/>
      <c r="AG129" s="452"/>
      <c r="AH129" s="452"/>
      <c r="AI129" s="452"/>
      <c r="AJ129" s="454"/>
      <c r="AK129" s="454">
        <f t="shared" si="27"/>
        <v>0</v>
      </c>
      <c r="AL129" s="454">
        <f t="shared" si="28"/>
        <v>1654</v>
      </c>
      <c r="AM129" s="513">
        <v>1900</v>
      </c>
      <c r="AN129" s="513">
        <v>1846</v>
      </c>
      <c r="AO129" s="454"/>
      <c r="AP129" s="454"/>
      <c r="AQ129" s="452"/>
      <c r="AR129" s="452"/>
      <c r="AS129" s="515">
        <v>1900</v>
      </c>
      <c r="AT129" s="515">
        <v>1846</v>
      </c>
      <c r="AU129" s="495"/>
      <c r="AV129" s="495"/>
      <c r="AW129" s="517"/>
      <c r="AX129" s="119"/>
      <c r="BB129" s="119">
        <v>1</v>
      </c>
      <c r="BC129" s="119">
        <v>3</v>
      </c>
    </row>
    <row r="130" spans="1:55" ht="31.5" x14ac:dyDescent="0.25">
      <c r="A130" s="448" t="s">
        <v>804</v>
      </c>
      <c r="B130" s="449" t="s">
        <v>948</v>
      </c>
      <c r="C130" s="450" t="s">
        <v>931</v>
      </c>
      <c r="D130" s="450"/>
      <c r="E130" s="450">
        <v>2019</v>
      </c>
      <c r="F130" s="450"/>
      <c r="G130" s="452"/>
      <c r="H130" s="452"/>
      <c r="I130" s="492"/>
      <c r="J130" s="492"/>
      <c r="K130" s="492"/>
      <c r="L130" s="492"/>
      <c r="M130" s="492"/>
      <c r="N130" s="492"/>
      <c r="O130" s="492"/>
      <c r="P130" s="492"/>
      <c r="Q130" s="492"/>
      <c r="R130" s="492"/>
      <c r="S130" s="492"/>
      <c r="T130" s="492"/>
      <c r="U130" s="492"/>
      <c r="V130" s="492"/>
      <c r="W130" s="492"/>
      <c r="X130" s="453">
        <v>4000</v>
      </c>
      <c r="Y130" s="453">
        <v>4000</v>
      </c>
      <c r="Z130" s="453"/>
      <c r="AA130" s="453"/>
      <c r="AB130" s="453"/>
      <c r="AC130" s="452"/>
      <c r="AD130" s="452"/>
      <c r="AE130" s="452"/>
      <c r="AF130" s="452"/>
      <c r="AG130" s="452"/>
      <c r="AH130" s="452"/>
      <c r="AI130" s="452"/>
      <c r="AJ130" s="454"/>
      <c r="AK130" s="454">
        <f t="shared" si="27"/>
        <v>0</v>
      </c>
      <c r="AL130" s="454">
        <f t="shared" si="28"/>
        <v>2040</v>
      </c>
      <c r="AM130" s="513">
        <v>2000</v>
      </c>
      <c r="AN130" s="513">
        <v>1960</v>
      </c>
      <c r="AO130" s="454"/>
      <c r="AP130" s="454"/>
      <c r="AQ130" s="452"/>
      <c r="AR130" s="452">
        <v>33</v>
      </c>
      <c r="AS130" s="515">
        <v>2000</v>
      </c>
      <c r="AT130" s="516">
        <v>1927</v>
      </c>
      <c r="AU130" s="495"/>
      <c r="AV130" s="495"/>
      <c r="AW130" s="517"/>
      <c r="AX130" s="119"/>
      <c r="BB130" s="119">
        <v>1</v>
      </c>
      <c r="BC130" s="119">
        <v>3</v>
      </c>
    </row>
    <row r="131" spans="1:55" ht="63" x14ac:dyDescent="0.25">
      <c r="A131" s="448" t="s">
        <v>806</v>
      </c>
      <c r="B131" s="449" t="s">
        <v>949</v>
      </c>
      <c r="C131" s="450" t="s">
        <v>950</v>
      </c>
      <c r="D131" s="450"/>
      <c r="E131" s="450">
        <v>2019</v>
      </c>
      <c r="F131" s="450"/>
      <c r="G131" s="452"/>
      <c r="H131" s="452"/>
      <c r="I131" s="492"/>
      <c r="J131" s="492"/>
      <c r="K131" s="492"/>
      <c r="L131" s="492"/>
      <c r="M131" s="492"/>
      <c r="N131" s="492"/>
      <c r="O131" s="492"/>
      <c r="P131" s="492"/>
      <c r="Q131" s="492"/>
      <c r="R131" s="492"/>
      <c r="S131" s="492"/>
      <c r="T131" s="492"/>
      <c r="U131" s="492"/>
      <c r="V131" s="492"/>
      <c r="W131" s="492"/>
      <c r="X131" s="453">
        <v>20000</v>
      </c>
      <c r="Y131" s="453">
        <v>10188</v>
      </c>
      <c r="Z131" s="453"/>
      <c r="AA131" s="453"/>
      <c r="AB131" s="453"/>
      <c r="AC131" s="452"/>
      <c r="AD131" s="452"/>
      <c r="AE131" s="452"/>
      <c r="AF131" s="452"/>
      <c r="AG131" s="452"/>
      <c r="AH131" s="452"/>
      <c r="AI131" s="452"/>
      <c r="AJ131" s="454"/>
      <c r="AK131" s="454">
        <f t="shared" si="27"/>
        <v>0</v>
      </c>
      <c r="AL131" s="454">
        <f t="shared" si="28"/>
        <v>0</v>
      </c>
      <c r="AM131" s="513">
        <v>14950</v>
      </c>
      <c r="AN131" s="513">
        <v>10188</v>
      </c>
      <c r="AO131" s="454"/>
      <c r="AP131" s="454"/>
      <c r="AQ131" s="452"/>
      <c r="AR131" s="452">
        <v>473</v>
      </c>
      <c r="AS131" s="515">
        <v>14950</v>
      </c>
      <c r="AT131" s="516">
        <v>9715</v>
      </c>
      <c r="AU131" s="495"/>
      <c r="AV131" s="495"/>
      <c r="AW131" s="517"/>
      <c r="AX131" s="119"/>
      <c r="BB131" s="119">
        <v>1</v>
      </c>
      <c r="BC131" s="119">
        <v>3</v>
      </c>
    </row>
    <row r="132" spans="1:55" ht="31.5" x14ac:dyDescent="0.25">
      <c r="A132" s="448" t="s">
        <v>808</v>
      </c>
      <c r="B132" s="449" t="s">
        <v>951</v>
      </c>
      <c r="C132" s="450" t="s">
        <v>60</v>
      </c>
      <c r="D132" s="450"/>
      <c r="E132" s="450" t="s">
        <v>61</v>
      </c>
      <c r="F132" s="450"/>
      <c r="G132" s="452"/>
      <c r="H132" s="452"/>
      <c r="I132" s="492"/>
      <c r="J132" s="492"/>
      <c r="K132" s="492"/>
      <c r="L132" s="492"/>
      <c r="M132" s="492"/>
      <c r="N132" s="492"/>
      <c r="O132" s="492"/>
      <c r="P132" s="492"/>
      <c r="Q132" s="492"/>
      <c r="R132" s="492"/>
      <c r="S132" s="492"/>
      <c r="T132" s="492"/>
      <c r="U132" s="492"/>
      <c r="V132" s="492"/>
      <c r="W132" s="492"/>
      <c r="X132" s="453">
        <v>5000</v>
      </c>
      <c r="Y132" s="453">
        <v>5000</v>
      </c>
      <c r="Z132" s="453"/>
      <c r="AA132" s="453"/>
      <c r="AB132" s="453"/>
      <c r="AC132" s="452"/>
      <c r="AD132" s="452"/>
      <c r="AE132" s="452"/>
      <c r="AF132" s="452"/>
      <c r="AG132" s="452"/>
      <c r="AH132" s="452"/>
      <c r="AI132" s="452"/>
      <c r="AJ132" s="454"/>
      <c r="AK132" s="454">
        <f>IF(AN132-Y132&gt;0,AN132-Y132,0)</f>
        <v>0</v>
      </c>
      <c r="AL132" s="454">
        <f>IF(Y132-AN132&gt;0,Y132-AN132,0)</f>
        <v>5000</v>
      </c>
      <c r="AM132" s="454"/>
      <c r="AN132" s="454"/>
      <c r="AO132" s="454"/>
      <c r="AP132" s="454"/>
      <c r="AQ132" s="452"/>
      <c r="AR132" s="452"/>
      <c r="AS132" s="494"/>
      <c r="AT132" s="494"/>
      <c r="AU132" s="495"/>
      <c r="AV132" s="495"/>
      <c r="AW132" s="517"/>
      <c r="AX132" s="119"/>
      <c r="BB132" s="119">
        <v>1</v>
      </c>
      <c r="BC132" s="119">
        <v>3</v>
      </c>
    </row>
    <row r="133" spans="1:55" ht="31.5" x14ac:dyDescent="0.25">
      <c r="A133" s="448" t="s">
        <v>811</v>
      </c>
      <c r="B133" s="449" t="s">
        <v>952</v>
      </c>
      <c r="C133" s="450" t="s">
        <v>953</v>
      </c>
      <c r="D133" s="450"/>
      <c r="E133" s="450" t="s">
        <v>61</v>
      </c>
      <c r="F133" s="450"/>
      <c r="G133" s="452"/>
      <c r="H133" s="452"/>
      <c r="I133" s="492"/>
      <c r="J133" s="492"/>
      <c r="K133" s="492"/>
      <c r="L133" s="492"/>
      <c r="M133" s="492"/>
      <c r="N133" s="492"/>
      <c r="O133" s="492"/>
      <c r="P133" s="492"/>
      <c r="Q133" s="492"/>
      <c r="R133" s="492"/>
      <c r="S133" s="492"/>
      <c r="T133" s="492"/>
      <c r="U133" s="492"/>
      <c r="V133" s="492"/>
      <c r="W133" s="492"/>
      <c r="X133" s="453">
        <v>5500</v>
      </c>
      <c r="Y133" s="453">
        <v>5500</v>
      </c>
      <c r="Z133" s="453"/>
      <c r="AA133" s="453"/>
      <c r="AB133" s="453"/>
      <c r="AC133" s="452"/>
      <c r="AD133" s="452"/>
      <c r="AE133" s="452"/>
      <c r="AF133" s="452"/>
      <c r="AG133" s="452"/>
      <c r="AH133" s="452"/>
      <c r="AI133" s="452"/>
      <c r="AJ133" s="454"/>
      <c r="AK133" s="454">
        <f>IF(AN133-Y133&gt;0,AN133-Y133,0)</f>
        <v>0</v>
      </c>
      <c r="AL133" s="454">
        <f>IF(Y133-AN133&gt;0,Y133-AN133,0)</f>
        <v>5500</v>
      </c>
      <c r="AM133" s="454"/>
      <c r="AN133" s="454"/>
      <c r="AO133" s="454"/>
      <c r="AP133" s="454"/>
      <c r="AQ133" s="452"/>
      <c r="AR133" s="452"/>
      <c r="AS133" s="494"/>
      <c r="AT133" s="494"/>
      <c r="AU133" s="495"/>
      <c r="AV133" s="495"/>
      <c r="AW133" s="10"/>
      <c r="AX133" s="119"/>
      <c r="BB133" s="119">
        <v>1</v>
      </c>
      <c r="BC133" s="119">
        <v>4</v>
      </c>
    </row>
    <row r="134" spans="1:55" ht="47.25" x14ac:dyDescent="0.25">
      <c r="A134" s="448" t="s">
        <v>813</v>
      </c>
      <c r="B134" s="449" t="s">
        <v>954</v>
      </c>
      <c r="C134" s="450" t="s">
        <v>59</v>
      </c>
      <c r="D134" s="450"/>
      <c r="E134" s="450" t="s">
        <v>61</v>
      </c>
      <c r="F134" s="450"/>
      <c r="G134" s="452"/>
      <c r="H134" s="452"/>
      <c r="I134" s="492"/>
      <c r="J134" s="492"/>
      <c r="K134" s="492"/>
      <c r="L134" s="492"/>
      <c r="M134" s="492"/>
      <c r="N134" s="492"/>
      <c r="O134" s="492"/>
      <c r="P134" s="492"/>
      <c r="Q134" s="492"/>
      <c r="R134" s="492"/>
      <c r="S134" s="492"/>
      <c r="T134" s="492"/>
      <c r="U134" s="492"/>
      <c r="V134" s="492"/>
      <c r="W134" s="492"/>
      <c r="X134" s="453">
        <v>6500</v>
      </c>
      <c r="Y134" s="453">
        <v>6500</v>
      </c>
      <c r="Z134" s="453"/>
      <c r="AA134" s="453"/>
      <c r="AB134" s="453"/>
      <c r="AC134" s="452"/>
      <c r="AD134" s="452"/>
      <c r="AE134" s="452"/>
      <c r="AF134" s="452"/>
      <c r="AG134" s="452"/>
      <c r="AH134" s="452"/>
      <c r="AI134" s="452"/>
      <c r="AJ134" s="454"/>
      <c r="AK134" s="454">
        <f>IF(AN134-Y134&gt;0,AN134-Y134,0)</f>
        <v>0</v>
      </c>
      <c r="AL134" s="454">
        <f>IF(Y134-AN134&gt;0,Y134-AN134,0)</f>
        <v>6500</v>
      </c>
      <c r="AM134" s="454"/>
      <c r="AN134" s="454"/>
      <c r="AO134" s="454"/>
      <c r="AP134" s="454"/>
      <c r="AQ134" s="452"/>
      <c r="AR134" s="452"/>
      <c r="AS134" s="494"/>
      <c r="AT134" s="494"/>
      <c r="AU134" s="495"/>
      <c r="AV134" s="495"/>
      <c r="AW134" s="10"/>
      <c r="AX134" s="119"/>
      <c r="BB134" s="119">
        <v>1</v>
      </c>
      <c r="BC134" s="119">
        <v>4</v>
      </c>
    </row>
    <row r="135" spans="1:55" ht="31.5" x14ac:dyDescent="0.25">
      <c r="A135" s="448" t="s">
        <v>816</v>
      </c>
      <c r="B135" s="449" t="s">
        <v>955</v>
      </c>
      <c r="C135" s="450" t="s">
        <v>60</v>
      </c>
      <c r="D135" s="450"/>
      <c r="E135" s="450" t="s">
        <v>61</v>
      </c>
      <c r="F135" s="450"/>
      <c r="G135" s="452"/>
      <c r="H135" s="452"/>
      <c r="I135" s="492"/>
      <c r="J135" s="492"/>
      <c r="K135" s="492"/>
      <c r="L135" s="492"/>
      <c r="M135" s="492"/>
      <c r="N135" s="492"/>
      <c r="O135" s="492"/>
      <c r="P135" s="492"/>
      <c r="Q135" s="492"/>
      <c r="R135" s="492"/>
      <c r="S135" s="492"/>
      <c r="T135" s="492"/>
      <c r="U135" s="492"/>
      <c r="V135" s="492"/>
      <c r="W135" s="492"/>
      <c r="X135" s="453">
        <v>4590</v>
      </c>
      <c r="Y135" s="453">
        <v>4590</v>
      </c>
      <c r="Z135" s="453"/>
      <c r="AA135" s="453"/>
      <c r="AB135" s="453"/>
      <c r="AC135" s="452"/>
      <c r="AD135" s="452"/>
      <c r="AE135" s="452"/>
      <c r="AF135" s="452"/>
      <c r="AG135" s="452"/>
      <c r="AH135" s="452"/>
      <c r="AI135" s="452"/>
      <c r="AJ135" s="454"/>
      <c r="AK135" s="454">
        <f>IF(AN135-Y135&gt;0,AN135-Y135,0)</f>
        <v>0</v>
      </c>
      <c r="AL135" s="454">
        <f>IF(Y135-AN135&gt;0,Y135-AN135,0)</f>
        <v>4590</v>
      </c>
      <c r="AM135" s="454"/>
      <c r="AN135" s="454"/>
      <c r="AO135" s="454"/>
      <c r="AP135" s="454"/>
      <c r="AQ135" s="452"/>
      <c r="AR135" s="452"/>
      <c r="AS135" s="494"/>
      <c r="AT135" s="494"/>
      <c r="AU135" s="495"/>
      <c r="AV135" s="495"/>
      <c r="AW135" s="10"/>
      <c r="AX135" s="119"/>
      <c r="BB135" s="119">
        <v>1</v>
      </c>
      <c r="BC135" s="119">
        <v>4</v>
      </c>
    </row>
    <row r="136" spans="1:55" ht="31.5" x14ac:dyDescent="0.25">
      <c r="A136" s="448" t="s">
        <v>819</v>
      </c>
      <c r="B136" s="449" t="s">
        <v>956</v>
      </c>
      <c r="C136" s="450" t="s">
        <v>957</v>
      </c>
      <c r="D136" s="450"/>
      <c r="E136" s="450" t="s">
        <v>933</v>
      </c>
      <c r="F136" s="450"/>
      <c r="G136" s="452"/>
      <c r="H136" s="452"/>
      <c r="I136" s="492"/>
      <c r="J136" s="492"/>
      <c r="K136" s="492"/>
      <c r="L136" s="492"/>
      <c r="M136" s="492"/>
      <c r="N136" s="492"/>
      <c r="O136" s="492"/>
      <c r="P136" s="492"/>
      <c r="Q136" s="492"/>
      <c r="R136" s="492"/>
      <c r="S136" s="492"/>
      <c r="T136" s="492"/>
      <c r="U136" s="492"/>
      <c r="V136" s="492"/>
      <c r="W136" s="492"/>
      <c r="X136" s="453">
        <v>4500</v>
      </c>
      <c r="Y136" s="453">
        <v>4500</v>
      </c>
      <c r="Z136" s="453"/>
      <c r="AA136" s="453"/>
      <c r="AB136" s="453"/>
      <c r="AC136" s="452"/>
      <c r="AD136" s="452"/>
      <c r="AE136" s="452"/>
      <c r="AF136" s="452"/>
      <c r="AG136" s="452"/>
      <c r="AH136" s="452"/>
      <c r="AI136" s="452"/>
      <c r="AJ136" s="454"/>
      <c r="AK136" s="454">
        <f>IF(AN136-Y136&gt;0,AN136-Y136,0)</f>
        <v>0</v>
      </c>
      <c r="AL136" s="454">
        <f>IF(Y136-AN136&gt;0,Y136-AN136,0)</f>
        <v>4500</v>
      </c>
      <c r="AM136" s="454"/>
      <c r="AN136" s="454"/>
      <c r="AO136" s="454"/>
      <c r="AP136" s="454"/>
      <c r="AQ136" s="452"/>
      <c r="AR136" s="452"/>
      <c r="AS136" s="494"/>
      <c r="AT136" s="494"/>
      <c r="AU136" s="495"/>
      <c r="AV136" s="495"/>
      <c r="AW136" s="10"/>
      <c r="AX136" s="119"/>
      <c r="BB136" s="119">
        <v>1</v>
      </c>
      <c r="BC136" s="119">
        <v>4</v>
      </c>
    </row>
    <row r="137" spans="1:55" ht="31.5" x14ac:dyDescent="0.25">
      <c r="A137" s="448" t="s">
        <v>821</v>
      </c>
      <c r="B137" s="518" t="s">
        <v>958</v>
      </c>
      <c r="C137" s="519" t="s">
        <v>959</v>
      </c>
      <c r="D137" s="450"/>
      <c r="E137" s="450" t="s">
        <v>61</v>
      </c>
      <c r="F137" s="450"/>
      <c r="G137" s="452"/>
      <c r="H137" s="452"/>
      <c r="I137" s="492"/>
      <c r="J137" s="492"/>
      <c r="K137" s="492"/>
      <c r="L137" s="492"/>
      <c r="M137" s="492"/>
      <c r="N137" s="492"/>
      <c r="O137" s="492"/>
      <c r="P137" s="492"/>
      <c r="Q137" s="492"/>
      <c r="R137" s="492"/>
      <c r="S137" s="492"/>
      <c r="T137" s="492"/>
      <c r="U137" s="492"/>
      <c r="V137" s="492"/>
      <c r="W137" s="492"/>
      <c r="X137" s="453"/>
      <c r="Y137" s="453"/>
      <c r="Z137" s="453"/>
      <c r="AA137" s="453"/>
      <c r="AB137" s="453"/>
      <c r="AC137" s="452"/>
      <c r="AD137" s="452"/>
      <c r="AE137" s="452"/>
      <c r="AF137" s="452"/>
      <c r="AG137" s="452"/>
      <c r="AH137" s="452"/>
      <c r="AI137" s="452"/>
      <c r="AJ137" s="454"/>
      <c r="AK137" s="454">
        <f t="shared" si="27"/>
        <v>5536</v>
      </c>
      <c r="AL137" s="454">
        <f t="shared" si="28"/>
        <v>0</v>
      </c>
      <c r="AM137" s="513">
        <v>5700</v>
      </c>
      <c r="AN137" s="513">
        <v>5536</v>
      </c>
      <c r="AO137" s="454"/>
      <c r="AP137" s="454"/>
      <c r="AQ137" s="452"/>
      <c r="AR137" s="452"/>
      <c r="AS137" s="515">
        <v>5700</v>
      </c>
      <c r="AT137" s="515">
        <v>5536</v>
      </c>
      <c r="AU137" s="495"/>
      <c r="AV137" s="495"/>
      <c r="AW137" s="10"/>
      <c r="AX137" s="119"/>
      <c r="BB137" s="119">
        <v>1</v>
      </c>
      <c r="BC137" s="119">
        <v>4</v>
      </c>
    </row>
    <row r="138" spans="1:55" ht="31.5" x14ac:dyDescent="0.25">
      <c r="A138" s="448" t="s">
        <v>823</v>
      </c>
      <c r="B138" s="518" t="s">
        <v>960</v>
      </c>
      <c r="C138" s="519" t="s">
        <v>961</v>
      </c>
      <c r="D138" s="450"/>
      <c r="E138" s="450" t="s">
        <v>61</v>
      </c>
      <c r="F138" s="450"/>
      <c r="G138" s="452"/>
      <c r="H138" s="452"/>
      <c r="I138" s="492"/>
      <c r="J138" s="492"/>
      <c r="K138" s="492"/>
      <c r="L138" s="492"/>
      <c r="M138" s="492"/>
      <c r="N138" s="492"/>
      <c r="O138" s="492"/>
      <c r="P138" s="492"/>
      <c r="Q138" s="492"/>
      <c r="R138" s="492"/>
      <c r="S138" s="492"/>
      <c r="T138" s="492"/>
      <c r="U138" s="492"/>
      <c r="V138" s="492"/>
      <c r="W138" s="492"/>
      <c r="X138" s="453"/>
      <c r="Y138" s="453"/>
      <c r="Z138" s="453"/>
      <c r="AA138" s="453"/>
      <c r="AB138" s="453"/>
      <c r="AC138" s="452"/>
      <c r="AD138" s="452"/>
      <c r="AE138" s="452"/>
      <c r="AF138" s="452"/>
      <c r="AG138" s="452"/>
      <c r="AH138" s="452"/>
      <c r="AI138" s="452"/>
      <c r="AJ138" s="454"/>
      <c r="AK138" s="454">
        <f t="shared" si="27"/>
        <v>10000</v>
      </c>
      <c r="AL138" s="454">
        <f t="shared" si="28"/>
        <v>0</v>
      </c>
      <c r="AM138" s="513">
        <v>11500</v>
      </c>
      <c r="AN138" s="513">
        <v>10000</v>
      </c>
      <c r="AO138" s="454"/>
      <c r="AP138" s="454"/>
      <c r="AQ138" s="452"/>
      <c r="AR138" s="452"/>
      <c r="AS138" s="515">
        <v>11500</v>
      </c>
      <c r="AT138" s="515">
        <v>10000</v>
      </c>
      <c r="AU138" s="495"/>
      <c r="AV138" s="495"/>
      <c r="AW138" s="10"/>
      <c r="AX138" s="119"/>
      <c r="BB138" s="119">
        <v>1</v>
      </c>
      <c r="BC138" s="119">
        <v>4</v>
      </c>
    </row>
    <row r="139" spans="1:55" ht="47.25" x14ac:dyDescent="0.25">
      <c r="A139" s="448" t="s">
        <v>825</v>
      </c>
      <c r="B139" s="518" t="s">
        <v>962</v>
      </c>
      <c r="C139" s="519" t="s">
        <v>963</v>
      </c>
      <c r="D139" s="450"/>
      <c r="E139" s="450" t="s">
        <v>61</v>
      </c>
      <c r="F139" s="450"/>
      <c r="G139" s="452"/>
      <c r="H139" s="452"/>
      <c r="I139" s="492"/>
      <c r="J139" s="492"/>
      <c r="K139" s="492"/>
      <c r="L139" s="492"/>
      <c r="M139" s="492"/>
      <c r="N139" s="492"/>
      <c r="O139" s="492"/>
      <c r="P139" s="492"/>
      <c r="Q139" s="492"/>
      <c r="R139" s="492"/>
      <c r="S139" s="492"/>
      <c r="T139" s="492"/>
      <c r="U139" s="492"/>
      <c r="V139" s="492"/>
      <c r="W139" s="492"/>
      <c r="X139" s="453"/>
      <c r="Y139" s="453"/>
      <c r="Z139" s="453"/>
      <c r="AA139" s="453"/>
      <c r="AB139" s="453"/>
      <c r="AC139" s="452"/>
      <c r="AD139" s="452"/>
      <c r="AE139" s="452"/>
      <c r="AF139" s="452"/>
      <c r="AG139" s="452"/>
      <c r="AH139" s="452"/>
      <c r="AI139" s="452"/>
      <c r="AJ139" s="454"/>
      <c r="AK139" s="454">
        <f t="shared" si="27"/>
        <v>14000</v>
      </c>
      <c r="AL139" s="454">
        <f t="shared" si="28"/>
        <v>0</v>
      </c>
      <c r="AM139" s="513">
        <v>14100</v>
      </c>
      <c r="AN139" s="513">
        <v>14000</v>
      </c>
      <c r="AO139" s="454"/>
      <c r="AP139" s="454"/>
      <c r="AQ139" s="452"/>
      <c r="AR139" s="452"/>
      <c r="AS139" s="515">
        <v>14100</v>
      </c>
      <c r="AT139" s="515">
        <v>14000</v>
      </c>
      <c r="AU139" s="495"/>
      <c r="AV139" s="495"/>
      <c r="AW139" s="10"/>
      <c r="AX139" s="119"/>
      <c r="BB139" s="119">
        <v>1</v>
      </c>
      <c r="BC139" s="119">
        <v>4</v>
      </c>
    </row>
    <row r="140" spans="1:55" s="14" customFormat="1" ht="31.5" x14ac:dyDescent="0.25">
      <c r="A140" s="448" t="s">
        <v>827</v>
      </c>
      <c r="B140" s="518" t="s">
        <v>964</v>
      </c>
      <c r="C140" s="519" t="s">
        <v>965</v>
      </c>
      <c r="D140" s="450"/>
      <c r="E140" s="450" t="s">
        <v>61</v>
      </c>
      <c r="F140" s="450"/>
      <c r="G140" s="452"/>
      <c r="H140" s="452"/>
      <c r="I140" s="492"/>
      <c r="J140" s="492"/>
      <c r="K140" s="492"/>
      <c r="L140" s="492"/>
      <c r="M140" s="492"/>
      <c r="N140" s="492"/>
      <c r="O140" s="492"/>
      <c r="P140" s="492"/>
      <c r="Q140" s="492"/>
      <c r="R140" s="492"/>
      <c r="S140" s="492"/>
      <c r="T140" s="492"/>
      <c r="U140" s="492"/>
      <c r="V140" s="492"/>
      <c r="W140" s="492"/>
      <c r="X140" s="453"/>
      <c r="Y140" s="453"/>
      <c r="Z140" s="453"/>
      <c r="AA140" s="453"/>
      <c r="AB140" s="453"/>
      <c r="AC140" s="452"/>
      <c r="AD140" s="452"/>
      <c r="AE140" s="452"/>
      <c r="AF140" s="452"/>
      <c r="AG140" s="452"/>
      <c r="AH140" s="452"/>
      <c r="AI140" s="452"/>
      <c r="AJ140" s="454"/>
      <c r="AK140" s="454">
        <f t="shared" si="27"/>
        <v>5500</v>
      </c>
      <c r="AL140" s="454">
        <f t="shared" si="28"/>
        <v>0</v>
      </c>
      <c r="AM140" s="513">
        <v>6000</v>
      </c>
      <c r="AN140" s="513">
        <v>5500</v>
      </c>
      <c r="AO140" s="454"/>
      <c r="AP140" s="454"/>
      <c r="AQ140" s="452"/>
      <c r="AR140" s="452"/>
      <c r="AS140" s="515">
        <v>6000</v>
      </c>
      <c r="AT140" s="515">
        <v>5500</v>
      </c>
      <c r="AU140" s="54">
        <v>0</v>
      </c>
      <c r="AV140" s="54">
        <v>0</v>
      </c>
      <c r="AW140" s="141"/>
    </row>
    <row r="141" spans="1:55" s="479" customFormat="1" ht="47.25" x14ac:dyDescent="0.25">
      <c r="A141" s="448" t="s">
        <v>829</v>
      </c>
      <c r="B141" s="518" t="s">
        <v>966</v>
      </c>
      <c r="C141" s="519" t="s">
        <v>967</v>
      </c>
      <c r="D141" s="450"/>
      <c r="E141" s="450" t="s">
        <v>61</v>
      </c>
      <c r="F141" s="450"/>
      <c r="G141" s="452"/>
      <c r="H141" s="452"/>
      <c r="I141" s="492"/>
      <c r="J141" s="492"/>
      <c r="K141" s="492"/>
      <c r="L141" s="492"/>
      <c r="M141" s="492"/>
      <c r="N141" s="492"/>
      <c r="O141" s="492"/>
      <c r="P141" s="492"/>
      <c r="Q141" s="492"/>
      <c r="R141" s="492"/>
      <c r="S141" s="492"/>
      <c r="T141" s="492"/>
      <c r="U141" s="492"/>
      <c r="V141" s="492"/>
      <c r="W141" s="492"/>
      <c r="X141" s="453"/>
      <c r="Y141" s="453"/>
      <c r="Z141" s="453"/>
      <c r="AA141" s="453"/>
      <c r="AB141" s="453"/>
      <c r="AC141" s="452"/>
      <c r="AD141" s="452"/>
      <c r="AE141" s="452"/>
      <c r="AF141" s="452"/>
      <c r="AG141" s="452"/>
      <c r="AH141" s="452"/>
      <c r="AI141" s="452"/>
      <c r="AJ141" s="454"/>
      <c r="AK141" s="454">
        <f t="shared" si="27"/>
        <v>2000</v>
      </c>
      <c r="AL141" s="454">
        <f t="shared" si="28"/>
        <v>0</v>
      </c>
      <c r="AM141" s="513">
        <v>2050</v>
      </c>
      <c r="AN141" s="513">
        <v>2000</v>
      </c>
      <c r="AO141" s="454"/>
      <c r="AP141" s="454"/>
      <c r="AQ141" s="452"/>
      <c r="AR141" s="452"/>
      <c r="AS141" s="515">
        <v>2050</v>
      </c>
      <c r="AT141" s="515">
        <v>2000</v>
      </c>
      <c r="AU141" s="478"/>
      <c r="AV141" s="478"/>
      <c r="AW141" s="510"/>
      <c r="BB141" s="479">
        <v>1</v>
      </c>
      <c r="BC141" s="479" t="s">
        <v>733</v>
      </c>
    </row>
    <row r="142" spans="1:55" s="479" customFormat="1" ht="47.25" x14ac:dyDescent="0.25">
      <c r="A142" s="448" t="s">
        <v>831</v>
      </c>
      <c r="B142" s="518" t="s">
        <v>968</v>
      </c>
      <c r="C142" s="519" t="s">
        <v>967</v>
      </c>
      <c r="D142" s="450"/>
      <c r="E142" s="450" t="s">
        <v>61</v>
      </c>
      <c r="F142" s="450"/>
      <c r="G142" s="452"/>
      <c r="H142" s="452"/>
      <c r="I142" s="492"/>
      <c r="J142" s="492"/>
      <c r="K142" s="492"/>
      <c r="L142" s="492"/>
      <c r="M142" s="492"/>
      <c r="N142" s="492"/>
      <c r="O142" s="492"/>
      <c r="P142" s="492"/>
      <c r="Q142" s="492"/>
      <c r="R142" s="492"/>
      <c r="S142" s="492"/>
      <c r="T142" s="492"/>
      <c r="U142" s="492"/>
      <c r="V142" s="492"/>
      <c r="W142" s="492"/>
      <c r="X142" s="453"/>
      <c r="Y142" s="453"/>
      <c r="Z142" s="453"/>
      <c r="AA142" s="453"/>
      <c r="AB142" s="453"/>
      <c r="AC142" s="452"/>
      <c r="AD142" s="452"/>
      <c r="AE142" s="452"/>
      <c r="AF142" s="452"/>
      <c r="AG142" s="452"/>
      <c r="AH142" s="452"/>
      <c r="AI142" s="452"/>
      <c r="AJ142" s="454"/>
      <c r="AK142" s="454">
        <f t="shared" si="27"/>
        <v>2200</v>
      </c>
      <c r="AL142" s="454">
        <f t="shared" si="28"/>
        <v>0</v>
      </c>
      <c r="AM142" s="513">
        <v>2250</v>
      </c>
      <c r="AN142" s="513">
        <v>2200</v>
      </c>
      <c r="AO142" s="454"/>
      <c r="AP142" s="454"/>
      <c r="AQ142" s="452"/>
      <c r="AR142" s="452"/>
      <c r="AS142" s="515">
        <v>2250</v>
      </c>
      <c r="AT142" s="515">
        <v>2200</v>
      </c>
      <c r="AU142" s="509">
        <v>0</v>
      </c>
      <c r="AV142" s="509">
        <v>0</v>
      </c>
      <c r="AW142" s="510"/>
    </row>
    <row r="143" spans="1:55" ht="47.25" x14ac:dyDescent="0.25">
      <c r="A143" s="448" t="s">
        <v>833</v>
      </c>
      <c r="B143" s="518" t="s">
        <v>969</v>
      </c>
      <c r="C143" s="519" t="s">
        <v>970</v>
      </c>
      <c r="D143" s="450"/>
      <c r="E143" s="450" t="s">
        <v>61</v>
      </c>
      <c r="F143" s="450"/>
      <c r="G143" s="452"/>
      <c r="H143" s="452"/>
      <c r="I143" s="492"/>
      <c r="J143" s="492"/>
      <c r="K143" s="492"/>
      <c r="L143" s="492"/>
      <c r="M143" s="492"/>
      <c r="N143" s="492"/>
      <c r="O143" s="492"/>
      <c r="P143" s="492"/>
      <c r="Q143" s="492"/>
      <c r="R143" s="492"/>
      <c r="S143" s="492"/>
      <c r="T143" s="492"/>
      <c r="U143" s="492"/>
      <c r="V143" s="492"/>
      <c r="W143" s="492"/>
      <c r="X143" s="453"/>
      <c r="Y143" s="453"/>
      <c r="Z143" s="453"/>
      <c r="AA143" s="453"/>
      <c r="AB143" s="453"/>
      <c r="AC143" s="452"/>
      <c r="AD143" s="452"/>
      <c r="AE143" s="452"/>
      <c r="AF143" s="452"/>
      <c r="AG143" s="452"/>
      <c r="AH143" s="452"/>
      <c r="AI143" s="452"/>
      <c r="AJ143" s="454"/>
      <c r="AK143" s="454">
        <f t="shared" si="27"/>
        <v>9319</v>
      </c>
      <c r="AL143" s="454">
        <f t="shared" si="28"/>
        <v>0</v>
      </c>
      <c r="AM143" s="513">
        <v>9500</v>
      </c>
      <c r="AN143" s="520">
        <v>9319</v>
      </c>
      <c r="AO143" s="454"/>
      <c r="AP143" s="454"/>
      <c r="AQ143" s="452"/>
      <c r="AR143" s="452"/>
      <c r="AS143" s="515">
        <v>9500</v>
      </c>
      <c r="AT143" s="521">
        <v>9319</v>
      </c>
      <c r="AU143" s="495"/>
      <c r="AV143" s="495"/>
      <c r="AW143" s="10"/>
      <c r="AX143" s="119"/>
      <c r="BB143" s="119">
        <v>1</v>
      </c>
      <c r="BC143" s="119">
        <v>6</v>
      </c>
    </row>
    <row r="144" spans="1:55" ht="37.5" customHeight="1" x14ac:dyDescent="0.25">
      <c r="A144" s="522" t="s">
        <v>108</v>
      </c>
      <c r="B144" s="523" t="s">
        <v>971</v>
      </c>
      <c r="C144" s="519"/>
      <c r="D144" s="450"/>
      <c r="E144" s="450"/>
      <c r="F144" s="450"/>
      <c r="G144" s="452"/>
      <c r="H144" s="452"/>
      <c r="I144" s="492"/>
      <c r="J144" s="492"/>
      <c r="K144" s="492"/>
      <c r="L144" s="492"/>
      <c r="M144" s="492"/>
      <c r="N144" s="492"/>
      <c r="O144" s="492"/>
      <c r="P144" s="492"/>
      <c r="Q144" s="492"/>
      <c r="R144" s="492"/>
      <c r="S144" s="492"/>
      <c r="T144" s="492"/>
      <c r="U144" s="492"/>
      <c r="V144" s="492"/>
      <c r="W144" s="492"/>
      <c r="X144" s="453"/>
      <c r="Y144" s="453"/>
      <c r="Z144" s="453"/>
      <c r="AA144" s="453"/>
      <c r="AB144" s="453"/>
      <c r="AC144" s="452"/>
      <c r="AD144" s="452"/>
      <c r="AE144" s="452"/>
      <c r="AF144" s="452"/>
      <c r="AG144" s="452"/>
      <c r="AH144" s="452"/>
      <c r="AI144" s="452"/>
      <c r="AJ144" s="454"/>
      <c r="AK144" s="454"/>
      <c r="AL144" s="454"/>
      <c r="AM144" s="513"/>
      <c r="AN144" s="520"/>
      <c r="AO144" s="454"/>
      <c r="AP144" s="454"/>
      <c r="AQ144" s="452"/>
      <c r="AR144" s="452"/>
      <c r="AS144" s="515"/>
      <c r="AT144" s="521"/>
      <c r="AU144" s="495"/>
      <c r="AV144" s="495"/>
      <c r="AW144" s="147"/>
      <c r="AX144" s="119"/>
      <c r="BB144" s="119">
        <v>1</v>
      </c>
      <c r="BC144" s="119">
        <v>6</v>
      </c>
    </row>
    <row r="145" spans="1:55" ht="36.75" customHeight="1" x14ac:dyDescent="0.25">
      <c r="A145" s="524"/>
      <c r="B145" s="449" t="s">
        <v>972</v>
      </c>
      <c r="C145" s="519"/>
      <c r="D145" s="450"/>
      <c r="E145" s="450"/>
      <c r="F145" s="450"/>
      <c r="G145" s="452"/>
      <c r="H145" s="452"/>
      <c r="I145" s="492"/>
      <c r="J145" s="492"/>
      <c r="K145" s="492"/>
      <c r="L145" s="492"/>
      <c r="M145" s="492"/>
      <c r="N145" s="492"/>
      <c r="O145" s="492"/>
      <c r="P145" s="492"/>
      <c r="Q145" s="492"/>
      <c r="R145" s="492"/>
      <c r="S145" s="492"/>
      <c r="T145" s="492"/>
      <c r="U145" s="492"/>
      <c r="V145" s="492"/>
      <c r="W145" s="492"/>
      <c r="X145" s="453"/>
      <c r="Y145" s="453"/>
      <c r="Z145" s="453"/>
      <c r="AA145" s="453"/>
      <c r="AB145" s="453"/>
      <c r="AC145" s="452"/>
      <c r="AD145" s="452"/>
      <c r="AE145" s="452"/>
      <c r="AF145" s="452"/>
      <c r="AG145" s="452"/>
      <c r="AH145" s="452"/>
      <c r="AI145" s="452"/>
      <c r="AJ145" s="454"/>
      <c r="AK145" s="454"/>
      <c r="AL145" s="454"/>
      <c r="AM145" s="513"/>
      <c r="AN145" s="520"/>
      <c r="AO145" s="454"/>
      <c r="AP145" s="454"/>
      <c r="AQ145" s="452">
        <v>5838</v>
      </c>
      <c r="AR145" s="452"/>
      <c r="AS145" s="515">
        <v>9000</v>
      </c>
      <c r="AT145" s="521">
        <v>5838</v>
      </c>
      <c r="AU145" s="495"/>
      <c r="AV145" s="495"/>
      <c r="AW145" s="147"/>
      <c r="AX145" s="119"/>
      <c r="BB145" s="119">
        <v>1</v>
      </c>
      <c r="BC145" s="119">
        <v>6</v>
      </c>
    </row>
    <row r="146" spans="1:55" ht="36" customHeight="1" x14ac:dyDescent="0.25">
      <c r="A146" s="426" t="s">
        <v>696</v>
      </c>
      <c r="B146" s="427" t="s">
        <v>62</v>
      </c>
      <c r="C146" s="464"/>
      <c r="D146" s="464"/>
      <c r="E146" s="464"/>
      <c r="F146" s="464"/>
      <c r="G146" s="465">
        <f>+G147+G148</f>
        <v>34323</v>
      </c>
      <c r="H146" s="465">
        <f t="shared" ref="H146:X146" si="29">+H147+H148</f>
        <v>32164</v>
      </c>
      <c r="I146" s="465">
        <f t="shared" si="29"/>
        <v>0</v>
      </c>
      <c r="J146" s="465">
        <f t="shared" si="29"/>
        <v>0</v>
      </c>
      <c r="K146" s="465">
        <f t="shared" si="29"/>
        <v>0</v>
      </c>
      <c r="L146" s="465">
        <f t="shared" si="29"/>
        <v>17053</v>
      </c>
      <c r="M146" s="465">
        <f t="shared" si="29"/>
        <v>17053</v>
      </c>
      <c r="N146" s="465">
        <f t="shared" si="29"/>
        <v>17053</v>
      </c>
      <c r="O146" s="465">
        <f t="shared" si="29"/>
        <v>17053</v>
      </c>
      <c r="P146" s="465">
        <f t="shared" si="29"/>
        <v>0</v>
      </c>
      <c r="Q146" s="465">
        <f t="shared" si="29"/>
        <v>0</v>
      </c>
      <c r="R146" s="465">
        <f t="shared" si="29"/>
        <v>0</v>
      </c>
      <c r="S146" s="465">
        <f t="shared" si="29"/>
        <v>0</v>
      </c>
      <c r="T146" s="465">
        <f t="shared" si="29"/>
        <v>0</v>
      </c>
      <c r="U146" s="465">
        <f t="shared" si="29"/>
        <v>0</v>
      </c>
      <c r="V146" s="465">
        <f t="shared" si="29"/>
        <v>0</v>
      </c>
      <c r="W146" s="465">
        <f t="shared" si="29"/>
        <v>0</v>
      </c>
      <c r="X146" s="465">
        <f t="shared" si="29"/>
        <v>90374</v>
      </c>
      <c r="Y146" s="465">
        <f>+Y147+Y148</f>
        <v>87067</v>
      </c>
      <c r="Z146" s="465">
        <f t="shared" ref="Z146:AV146" si="30">+Z147+Z148</f>
        <v>0</v>
      </c>
      <c r="AA146" s="465">
        <f t="shared" si="30"/>
        <v>877</v>
      </c>
      <c r="AB146" s="465">
        <f t="shared" si="30"/>
        <v>0</v>
      </c>
      <c r="AC146" s="465">
        <f t="shared" si="30"/>
        <v>0</v>
      </c>
      <c r="AD146" s="465">
        <f t="shared" si="30"/>
        <v>10500</v>
      </c>
      <c r="AE146" s="465">
        <f t="shared" si="30"/>
        <v>6217</v>
      </c>
      <c r="AF146" s="465">
        <f t="shared" si="30"/>
        <v>0</v>
      </c>
      <c r="AG146" s="465">
        <f t="shared" si="30"/>
        <v>0</v>
      </c>
      <c r="AH146" s="465">
        <f t="shared" si="30"/>
        <v>8639</v>
      </c>
      <c r="AI146" s="465">
        <f t="shared" si="30"/>
        <v>8639</v>
      </c>
      <c r="AJ146" s="465">
        <f t="shared" si="30"/>
        <v>0</v>
      </c>
      <c r="AK146" s="465">
        <f t="shared" si="30"/>
        <v>7315</v>
      </c>
      <c r="AL146" s="465">
        <f t="shared" si="30"/>
        <v>7315</v>
      </c>
      <c r="AM146" s="466">
        <f t="shared" si="30"/>
        <v>90474</v>
      </c>
      <c r="AN146" s="466">
        <f t="shared" si="30"/>
        <v>87067</v>
      </c>
      <c r="AO146" s="465">
        <f t="shared" si="30"/>
        <v>0</v>
      </c>
      <c r="AP146" s="465">
        <f t="shared" si="30"/>
        <v>0</v>
      </c>
      <c r="AQ146" s="467">
        <f t="shared" si="30"/>
        <v>0</v>
      </c>
      <c r="AR146" s="467">
        <f t="shared" si="30"/>
        <v>0</v>
      </c>
      <c r="AS146" s="467">
        <f t="shared" si="30"/>
        <v>90474</v>
      </c>
      <c r="AT146" s="467">
        <f t="shared" si="30"/>
        <v>87067</v>
      </c>
      <c r="AU146" s="466">
        <f t="shared" si="30"/>
        <v>0</v>
      </c>
      <c r="AV146" s="466">
        <f t="shared" si="30"/>
        <v>0</v>
      </c>
      <c r="AW146" s="147"/>
      <c r="AX146" s="119"/>
      <c r="BB146" s="119">
        <v>1</v>
      </c>
      <c r="BC146" s="119">
        <v>6</v>
      </c>
    </row>
    <row r="147" spans="1:55" ht="47.25" x14ac:dyDescent="0.25">
      <c r="A147" s="469" t="s">
        <v>730</v>
      </c>
      <c r="B147" s="470" t="s">
        <v>731</v>
      </c>
      <c r="C147" s="471"/>
      <c r="D147" s="471"/>
      <c r="E147" s="471"/>
      <c r="F147" s="471"/>
      <c r="G147" s="472">
        <v>23693</v>
      </c>
      <c r="H147" s="472">
        <v>22604</v>
      </c>
      <c r="I147" s="473"/>
      <c r="J147" s="473"/>
      <c r="K147" s="473"/>
      <c r="L147" s="473">
        <v>17053</v>
      </c>
      <c r="M147" s="473">
        <v>17053</v>
      </c>
      <c r="N147" s="473">
        <v>17053</v>
      </c>
      <c r="O147" s="473">
        <v>17053</v>
      </c>
      <c r="P147" s="473"/>
      <c r="Q147" s="473"/>
      <c r="R147" s="473"/>
      <c r="S147" s="473"/>
      <c r="T147" s="473"/>
      <c r="U147" s="473"/>
      <c r="V147" s="473"/>
      <c r="W147" s="473"/>
      <c r="X147" s="474">
        <v>877</v>
      </c>
      <c r="Y147" s="474">
        <v>877</v>
      </c>
      <c r="Z147" s="474">
        <v>0</v>
      </c>
      <c r="AA147" s="474">
        <v>877</v>
      </c>
      <c r="AB147" s="474"/>
      <c r="AC147" s="472"/>
      <c r="AD147" s="472">
        <v>4810</v>
      </c>
      <c r="AE147" s="472">
        <v>4810</v>
      </c>
      <c r="AF147" s="472"/>
      <c r="AG147" s="472"/>
      <c r="AH147" s="472">
        <v>0</v>
      </c>
      <c r="AI147" s="472">
        <v>0</v>
      </c>
      <c r="AJ147" s="475">
        <v>0</v>
      </c>
      <c r="AK147" s="475">
        <f>IF(AN147-Y147&gt;0,AN147-Y147,0)</f>
        <v>0</v>
      </c>
      <c r="AL147" s="475">
        <f>IF(Y147-AN147&gt;0,Y147-AN147,0)</f>
        <v>0</v>
      </c>
      <c r="AM147" s="490">
        <v>877</v>
      </c>
      <c r="AN147" s="490">
        <v>877</v>
      </c>
      <c r="AO147" s="475"/>
      <c r="AP147" s="475"/>
      <c r="AQ147" s="472"/>
      <c r="AR147" s="472"/>
      <c r="AS147" s="477">
        <v>877</v>
      </c>
      <c r="AT147" s="477">
        <v>877</v>
      </c>
      <c r="AU147" s="495"/>
      <c r="AV147" s="495"/>
      <c r="AW147" s="147"/>
      <c r="AX147" s="119"/>
      <c r="BB147" s="119">
        <v>1</v>
      </c>
      <c r="BC147" s="119">
        <v>6</v>
      </c>
    </row>
    <row r="148" spans="1:55" ht="31.5" x14ac:dyDescent="0.25">
      <c r="A148" s="469" t="s">
        <v>730</v>
      </c>
      <c r="B148" s="470" t="s">
        <v>735</v>
      </c>
      <c r="C148" s="471"/>
      <c r="D148" s="471"/>
      <c r="E148" s="471"/>
      <c r="F148" s="471"/>
      <c r="G148" s="472">
        <f t="shared" ref="G148:W148" si="31">+SUM(G149:G200)</f>
        <v>10630</v>
      </c>
      <c r="H148" s="472">
        <f t="shared" si="31"/>
        <v>9560</v>
      </c>
      <c r="I148" s="472">
        <f t="shared" si="31"/>
        <v>0</v>
      </c>
      <c r="J148" s="472">
        <f t="shared" si="31"/>
        <v>0</v>
      </c>
      <c r="K148" s="472">
        <f t="shared" si="31"/>
        <v>0</v>
      </c>
      <c r="L148" s="472">
        <f t="shared" si="31"/>
        <v>0</v>
      </c>
      <c r="M148" s="472">
        <f t="shared" si="31"/>
        <v>0</v>
      </c>
      <c r="N148" s="472">
        <f t="shared" si="31"/>
        <v>0</v>
      </c>
      <c r="O148" s="472">
        <f t="shared" si="31"/>
        <v>0</v>
      </c>
      <c r="P148" s="472">
        <f t="shared" si="31"/>
        <v>0</v>
      </c>
      <c r="Q148" s="472">
        <f t="shared" si="31"/>
        <v>0</v>
      </c>
      <c r="R148" s="472">
        <f t="shared" si="31"/>
        <v>0</v>
      </c>
      <c r="S148" s="472">
        <f t="shared" si="31"/>
        <v>0</v>
      </c>
      <c r="T148" s="472">
        <f t="shared" si="31"/>
        <v>0</v>
      </c>
      <c r="U148" s="472">
        <f t="shared" si="31"/>
        <v>0</v>
      </c>
      <c r="V148" s="472">
        <f t="shared" si="31"/>
        <v>0</v>
      </c>
      <c r="W148" s="472">
        <f t="shared" si="31"/>
        <v>0</v>
      </c>
      <c r="X148" s="472">
        <f t="shared" ref="X148:AL148" si="32">SUM(X149:X206)</f>
        <v>89497</v>
      </c>
      <c r="Y148" s="472">
        <f t="shared" si="32"/>
        <v>86190</v>
      </c>
      <c r="Z148" s="472">
        <f t="shared" si="32"/>
        <v>0</v>
      </c>
      <c r="AA148" s="472">
        <f t="shared" si="32"/>
        <v>0</v>
      </c>
      <c r="AB148" s="472">
        <f t="shared" si="32"/>
        <v>0</v>
      </c>
      <c r="AC148" s="472">
        <f t="shared" si="32"/>
        <v>0</v>
      </c>
      <c r="AD148" s="472">
        <f t="shared" si="32"/>
        <v>5690</v>
      </c>
      <c r="AE148" s="472">
        <f t="shared" si="32"/>
        <v>1407</v>
      </c>
      <c r="AF148" s="472">
        <f t="shared" si="32"/>
        <v>0</v>
      </c>
      <c r="AG148" s="472">
        <f t="shared" si="32"/>
        <v>0</v>
      </c>
      <c r="AH148" s="472">
        <f t="shared" si="32"/>
        <v>8639</v>
      </c>
      <c r="AI148" s="472">
        <f t="shared" si="32"/>
        <v>8639</v>
      </c>
      <c r="AJ148" s="472">
        <f t="shared" si="32"/>
        <v>0</v>
      </c>
      <c r="AK148" s="472">
        <f t="shared" si="32"/>
        <v>7315</v>
      </c>
      <c r="AL148" s="472">
        <f t="shared" si="32"/>
        <v>7315</v>
      </c>
      <c r="AM148" s="490">
        <f t="shared" ref="AM148:AV148" si="33">SUM(AM149:AM206)</f>
        <v>89597</v>
      </c>
      <c r="AN148" s="490">
        <f t="shared" si="33"/>
        <v>86190</v>
      </c>
      <c r="AO148" s="490">
        <f t="shared" si="33"/>
        <v>0</v>
      </c>
      <c r="AP148" s="490">
        <f t="shared" si="33"/>
        <v>0</v>
      </c>
      <c r="AQ148" s="477">
        <f t="shared" si="33"/>
        <v>0</v>
      </c>
      <c r="AR148" s="477">
        <f t="shared" si="33"/>
        <v>0</v>
      </c>
      <c r="AS148" s="477">
        <f t="shared" si="33"/>
        <v>89597</v>
      </c>
      <c r="AT148" s="477">
        <f t="shared" si="33"/>
        <v>86190</v>
      </c>
      <c r="AU148" s="490">
        <f t="shared" si="33"/>
        <v>0</v>
      </c>
      <c r="AV148" s="490">
        <f t="shared" si="33"/>
        <v>0</v>
      </c>
      <c r="AW148" s="147"/>
      <c r="AX148" s="119"/>
      <c r="BB148" s="119">
        <v>1</v>
      </c>
      <c r="BC148" s="119">
        <v>6</v>
      </c>
    </row>
    <row r="149" spans="1:55" ht="47.25" x14ac:dyDescent="0.25">
      <c r="A149" s="448" t="s">
        <v>688</v>
      </c>
      <c r="B149" s="449" t="s">
        <v>973</v>
      </c>
      <c r="C149" s="450" t="s">
        <v>63</v>
      </c>
      <c r="D149" s="450" t="s">
        <v>974</v>
      </c>
      <c r="E149" s="450">
        <v>2016</v>
      </c>
      <c r="F149" s="450" t="s">
        <v>975</v>
      </c>
      <c r="G149" s="452">
        <v>1775</v>
      </c>
      <c r="H149" s="452">
        <v>1775</v>
      </c>
      <c r="I149" s="492"/>
      <c r="J149" s="492"/>
      <c r="K149" s="492"/>
      <c r="L149" s="492"/>
      <c r="M149" s="492"/>
      <c r="N149" s="492"/>
      <c r="O149" s="492"/>
      <c r="P149" s="492"/>
      <c r="Q149" s="492"/>
      <c r="R149" s="492"/>
      <c r="S149" s="492"/>
      <c r="T149" s="492"/>
      <c r="U149" s="492"/>
      <c r="V149" s="492"/>
      <c r="W149" s="492"/>
      <c r="X149" s="453">
        <v>1746</v>
      </c>
      <c r="Y149" s="453">
        <v>1746</v>
      </c>
      <c r="Z149" s="453"/>
      <c r="AA149" s="453"/>
      <c r="AB149" s="453"/>
      <c r="AC149" s="452"/>
      <c r="AD149" s="452">
        <v>1837</v>
      </c>
      <c r="AE149" s="452">
        <v>707</v>
      </c>
      <c r="AF149" s="452"/>
      <c r="AG149" s="452"/>
      <c r="AH149" s="452"/>
      <c r="AI149" s="452"/>
      <c r="AJ149" s="454"/>
      <c r="AK149" s="454">
        <f t="shared" ref="AK149:AK206" si="34">IF(AN149-Y149&gt;0,AN149-Y149,0)</f>
        <v>0</v>
      </c>
      <c r="AL149" s="454">
        <f t="shared" ref="AL149:AL206" si="35">IF(Y149-AN149&gt;0,Y149-AN149,0)</f>
        <v>0</v>
      </c>
      <c r="AM149" s="454">
        <v>1746</v>
      </c>
      <c r="AN149" s="454">
        <v>1746</v>
      </c>
      <c r="AO149" s="454"/>
      <c r="AP149" s="454"/>
      <c r="AQ149" s="452"/>
      <c r="AR149" s="452"/>
      <c r="AS149" s="494">
        <v>1746</v>
      </c>
      <c r="AT149" s="494">
        <v>1746</v>
      </c>
      <c r="AU149" s="495"/>
      <c r="AV149" s="495"/>
      <c r="AW149" s="147"/>
      <c r="AX149" s="119"/>
      <c r="BB149" s="119">
        <v>1</v>
      </c>
      <c r="BC149" s="119">
        <v>6</v>
      </c>
    </row>
    <row r="150" spans="1:55" ht="47.25" x14ac:dyDescent="0.25">
      <c r="A150" s="448" t="s">
        <v>693</v>
      </c>
      <c r="B150" s="449" t="s">
        <v>976</v>
      </c>
      <c r="C150" s="450" t="s">
        <v>64</v>
      </c>
      <c r="D150" s="450" t="s">
        <v>977</v>
      </c>
      <c r="E150" s="450">
        <v>2016</v>
      </c>
      <c r="F150" s="450" t="s">
        <v>978</v>
      </c>
      <c r="G150" s="452">
        <v>1955</v>
      </c>
      <c r="H150" s="452">
        <v>1955</v>
      </c>
      <c r="I150" s="492"/>
      <c r="J150" s="492"/>
      <c r="K150" s="492"/>
      <c r="L150" s="492"/>
      <c r="M150" s="492"/>
      <c r="N150" s="492"/>
      <c r="O150" s="492"/>
      <c r="P150" s="492"/>
      <c r="Q150" s="492"/>
      <c r="R150" s="492"/>
      <c r="S150" s="492"/>
      <c r="T150" s="492"/>
      <c r="U150" s="492"/>
      <c r="V150" s="492"/>
      <c r="W150" s="492"/>
      <c r="X150" s="453">
        <v>1827</v>
      </c>
      <c r="Y150" s="453">
        <v>1827</v>
      </c>
      <c r="Z150" s="453"/>
      <c r="AA150" s="453"/>
      <c r="AB150" s="453"/>
      <c r="AC150" s="452"/>
      <c r="AD150" s="452">
        <v>2000</v>
      </c>
      <c r="AE150" s="452">
        <v>700</v>
      </c>
      <c r="AF150" s="452"/>
      <c r="AG150" s="452"/>
      <c r="AH150" s="452"/>
      <c r="AI150" s="452"/>
      <c r="AJ150" s="454"/>
      <c r="AK150" s="454">
        <f t="shared" si="34"/>
        <v>0</v>
      </c>
      <c r="AL150" s="454">
        <f t="shared" si="35"/>
        <v>0</v>
      </c>
      <c r="AM150" s="454">
        <v>1827</v>
      </c>
      <c r="AN150" s="454">
        <v>1827</v>
      </c>
      <c r="AO150" s="454"/>
      <c r="AP150" s="454"/>
      <c r="AQ150" s="452"/>
      <c r="AR150" s="452"/>
      <c r="AS150" s="494">
        <v>1827</v>
      </c>
      <c r="AT150" s="494">
        <v>1827</v>
      </c>
      <c r="AU150" s="495"/>
      <c r="AV150" s="495"/>
      <c r="AW150" s="147"/>
      <c r="AX150" s="119"/>
      <c r="BB150" s="119">
        <v>1</v>
      </c>
      <c r="BC150" s="119">
        <v>6</v>
      </c>
    </row>
    <row r="151" spans="1:55" ht="47.25" x14ac:dyDescent="0.25">
      <c r="A151" s="448" t="s">
        <v>696</v>
      </c>
      <c r="B151" s="449" t="s">
        <v>979</v>
      </c>
      <c r="C151" s="450" t="s">
        <v>63</v>
      </c>
      <c r="D151" s="450" t="s">
        <v>980</v>
      </c>
      <c r="E151" s="450" t="s">
        <v>55</v>
      </c>
      <c r="F151" s="450"/>
      <c r="G151" s="452"/>
      <c r="H151" s="452"/>
      <c r="I151" s="492"/>
      <c r="J151" s="492"/>
      <c r="K151" s="492"/>
      <c r="L151" s="492"/>
      <c r="M151" s="492"/>
      <c r="N151" s="492"/>
      <c r="O151" s="492"/>
      <c r="P151" s="492"/>
      <c r="Q151" s="492"/>
      <c r="R151" s="492"/>
      <c r="S151" s="492"/>
      <c r="T151" s="492"/>
      <c r="U151" s="492"/>
      <c r="V151" s="492"/>
      <c r="W151" s="492"/>
      <c r="X151" s="453">
        <v>2000</v>
      </c>
      <c r="Y151" s="453">
        <v>1740</v>
      </c>
      <c r="Z151" s="453"/>
      <c r="AA151" s="453"/>
      <c r="AB151" s="453"/>
      <c r="AC151" s="452"/>
      <c r="AD151" s="452"/>
      <c r="AE151" s="452"/>
      <c r="AF151" s="452"/>
      <c r="AG151" s="452"/>
      <c r="AH151" s="452">
        <v>662</v>
      </c>
      <c r="AI151" s="452">
        <v>662</v>
      </c>
      <c r="AJ151" s="454"/>
      <c r="AK151" s="454">
        <f t="shared" si="34"/>
        <v>0</v>
      </c>
      <c r="AL151" s="454">
        <f t="shared" si="35"/>
        <v>0</v>
      </c>
      <c r="AM151" s="454">
        <v>2000</v>
      </c>
      <c r="AN151" s="454">
        <v>1740</v>
      </c>
      <c r="AO151" s="454"/>
      <c r="AP151" s="454"/>
      <c r="AQ151" s="452"/>
      <c r="AR151" s="452"/>
      <c r="AS151" s="494">
        <v>2000</v>
      </c>
      <c r="AT151" s="494">
        <v>1740</v>
      </c>
      <c r="AU151" s="495"/>
      <c r="AV151" s="495"/>
      <c r="AW151" s="147"/>
      <c r="AX151" s="119"/>
      <c r="BB151" s="119">
        <v>1</v>
      </c>
      <c r="BC151" s="119">
        <v>6</v>
      </c>
    </row>
    <row r="152" spans="1:55" ht="47.25" x14ac:dyDescent="0.25">
      <c r="A152" s="448" t="s">
        <v>700</v>
      </c>
      <c r="B152" s="449" t="s">
        <v>981</v>
      </c>
      <c r="C152" s="450" t="s">
        <v>63</v>
      </c>
      <c r="D152" s="450" t="s">
        <v>982</v>
      </c>
      <c r="E152" s="450" t="s">
        <v>55</v>
      </c>
      <c r="F152" s="450"/>
      <c r="G152" s="452"/>
      <c r="H152" s="452"/>
      <c r="I152" s="492"/>
      <c r="J152" s="492"/>
      <c r="K152" s="492"/>
      <c r="L152" s="492"/>
      <c r="M152" s="492"/>
      <c r="N152" s="492"/>
      <c r="O152" s="492"/>
      <c r="P152" s="492"/>
      <c r="Q152" s="492"/>
      <c r="R152" s="492"/>
      <c r="S152" s="492"/>
      <c r="T152" s="492"/>
      <c r="U152" s="492"/>
      <c r="V152" s="492"/>
      <c r="W152" s="492"/>
      <c r="X152" s="453">
        <v>2000</v>
      </c>
      <c r="Y152" s="453">
        <v>1740</v>
      </c>
      <c r="Z152" s="453"/>
      <c r="AA152" s="453"/>
      <c r="AB152" s="453"/>
      <c r="AC152" s="452"/>
      <c r="AD152" s="452"/>
      <c r="AE152" s="452"/>
      <c r="AF152" s="452"/>
      <c r="AG152" s="452"/>
      <c r="AH152" s="452">
        <v>660</v>
      </c>
      <c r="AI152" s="452">
        <v>660</v>
      </c>
      <c r="AJ152" s="454"/>
      <c r="AK152" s="454">
        <f t="shared" si="34"/>
        <v>0</v>
      </c>
      <c r="AL152" s="454">
        <f t="shared" si="35"/>
        <v>0</v>
      </c>
      <c r="AM152" s="454">
        <v>2000</v>
      </c>
      <c r="AN152" s="454">
        <v>1740</v>
      </c>
      <c r="AO152" s="454"/>
      <c r="AP152" s="454"/>
      <c r="AQ152" s="452"/>
      <c r="AR152" s="452"/>
      <c r="AS152" s="494">
        <v>2000</v>
      </c>
      <c r="AT152" s="494">
        <v>1740</v>
      </c>
      <c r="AU152" s="495"/>
      <c r="AV152" s="495"/>
      <c r="AW152" s="147"/>
      <c r="AX152" s="119"/>
      <c r="BB152" s="119">
        <v>1</v>
      </c>
      <c r="BC152" s="119">
        <v>6</v>
      </c>
    </row>
    <row r="153" spans="1:55" ht="31.5" x14ac:dyDescent="0.25">
      <c r="A153" s="448" t="s">
        <v>704</v>
      </c>
      <c r="B153" s="449" t="s">
        <v>983</v>
      </c>
      <c r="C153" s="450" t="s">
        <v>63</v>
      </c>
      <c r="D153" s="450" t="s">
        <v>984</v>
      </c>
      <c r="E153" s="450" t="s">
        <v>933</v>
      </c>
      <c r="F153" s="450"/>
      <c r="G153" s="452"/>
      <c r="H153" s="452"/>
      <c r="I153" s="492"/>
      <c r="J153" s="492"/>
      <c r="K153" s="492"/>
      <c r="L153" s="492"/>
      <c r="M153" s="492"/>
      <c r="N153" s="492"/>
      <c r="O153" s="492"/>
      <c r="P153" s="492"/>
      <c r="Q153" s="492"/>
      <c r="R153" s="492"/>
      <c r="S153" s="492"/>
      <c r="T153" s="492"/>
      <c r="U153" s="492"/>
      <c r="V153" s="492"/>
      <c r="W153" s="492"/>
      <c r="X153" s="453">
        <v>4000</v>
      </c>
      <c r="Y153" s="453">
        <v>3990</v>
      </c>
      <c r="Z153" s="453"/>
      <c r="AA153" s="453"/>
      <c r="AB153" s="453"/>
      <c r="AC153" s="452"/>
      <c r="AD153" s="452"/>
      <c r="AE153" s="452"/>
      <c r="AF153" s="452"/>
      <c r="AG153" s="452"/>
      <c r="AH153" s="452"/>
      <c r="AI153" s="452"/>
      <c r="AJ153" s="454"/>
      <c r="AK153" s="454">
        <f t="shared" si="34"/>
        <v>0</v>
      </c>
      <c r="AL153" s="454">
        <f t="shared" si="35"/>
        <v>0</v>
      </c>
      <c r="AM153" s="454">
        <v>4000</v>
      </c>
      <c r="AN153" s="454">
        <v>3990</v>
      </c>
      <c r="AO153" s="454"/>
      <c r="AP153" s="454"/>
      <c r="AQ153" s="452"/>
      <c r="AR153" s="452"/>
      <c r="AS153" s="494">
        <v>4000</v>
      </c>
      <c r="AT153" s="494">
        <v>3990</v>
      </c>
      <c r="AU153" s="495"/>
      <c r="AV153" s="495"/>
      <c r="AW153" s="147"/>
      <c r="AX153" s="119"/>
      <c r="BB153" s="119">
        <v>1</v>
      </c>
      <c r="BC153" s="119">
        <v>6</v>
      </c>
    </row>
    <row r="154" spans="1:55" ht="31.5" x14ac:dyDescent="0.25">
      <c r="A154" s="448" t="s">
        <v>709</v>
      </c>
      <c r="B154" s="449" t="s">
        <v>985</v>
      </c>
      <c r="C154" s="450" t="s">
        <v>63</v>
      </c>
      <c r="D154" s="450" t="s">
        <v>986</v>
      </c>
      <c r="E154" s="450" t="s">
        <v>65</v>
      </c>
      <c r="F154" s="450"/>
      <c r="G154" s="452"/>
      <c r="H154" s="452"/>
      <c r="I154" s="492"/>
      <c r="J154" s="492"/>
      <c r="K154" s="492"/>
      <c r="L154" s="492"/>
      <c r="M154" s="492"/>
      <c r="N154" s="492"/>
      <c r="O154" s="492"/>
      <c r="P154" s="492"/>
      <c r="Q154" s="492"/>
      <c r="R154" s="492"/>
      <c r="S154" s="492"/>
      <c r="T154" s="492"/>
      <c r="U154" s="492"/>
      <c r="V154" s="492"/>
      <c r="W154" s="492"/>
      <c r="X154" s="453">
        <v>600</v>
      </c>
      <c r="Y154" s="453">
        <v>594</v>
      </c>
      <c r="Z154" s="453"/>
      <c r="AA154" s="453"/>
      <c r="AB154" s="453"/>
      <c r="AC154" s="452"/>
      <c r="AD154" s="452"/>
      <c r="AE154" s="452"/>
      <c r="AF154" s="452"/>
      <c r="AG154" s="452"/>
      <c r="AH154" s="452"/>
      <c r="AI154" s="452"/>
      <c r="AJ154" s="454"/>
      <c r="AK154" s="454">
        <f t="shared" si="34"/>
        <v>0</v>
      </c>
      <c r="AL154" s="454">
        <f t="shared" si="35"/>
        <v>0</v>
      </c>
      <c r="AM154" s="454">
        <v>600</v>
      </c>
      <c r="AN154" s="454">
        <v>594</v>
      </c>
      <c r="AO154" s="454"/>
      <c r="AP154" s="454"/>
      <c r="AQ154" s="452"/>
      <c r="AR154" s="452"/>
      <c r="AS154" s="494">
        <v>600</v>
      </c>
      <c r="AT154" s="494">
        <v>594</v>
      </c>
      <c r="AU154" s="495"/>
      <c r="AV154" s="495"/>
      <c r="AW154" s="147"/>
      <c r="AX154" s="119"/>
      <c r="BB154" s="119">
        <v>1</v>
      </c>
      <c r="BC154" s="119">
        <v>6</v>
      </c>
    </row>
    <row r="155" spans="1:55" ht="31.5" x14ac:dyDescent="0.25">
      <c r="A155" s="448" t="s">
        <v>714</v>
      </c>
      <c r="B155" s="449" t="s">
        <v>987</v>
      </c>
      <c r="C155" s="450" t="s">
        <v>63</v>
      </c>
      <c r="D155" s="450" t="s">
        <v>986</v>
      </c>
      <c r="E155" s="450" t="s">
        <v>65</v>
      </c>
      <c r="F155" s="450"/>
      <c r="G155" s="452"/>
      <c r="H155" s="452"/>
      <c r="I155" s="492"/>
      <c r="J155" s="492"/>
      <c r="K155" s="492"/>
      <c r="L155" s="492"/>
      <c r="M155" s="492"/>
      <c r="N155" s="492"/>
      <c r="O155" s="492"/>
      <c r="P155" s="492"/>
      <c r="Q155" s="492"/>
      <c r="R155" s="492"/>
      <c r="S155" s="492"/>
      <c r="T155" s="492"/>
      <c r="U155" s="492"/>
      <c r="V155" s="492"/>
      <c r="W155" s="492"/>
      <c r="X155" s="453">
        <v>600</v>
      </c>
      <c r="Y155" s="453">
        <v>594</v>
      </c>
      <c r="Z155" s="453"/>
      <c r="AA155" s="453"/>
      <c r="AB155" s="453"/>
      <c r="AC155" s="452"/>
      <c r="AD155" s="452"/>
      <c r="AE155" s="452"/>
      <c r="AF155" s="452"/>
      <c r="AG155" s="452"/>
      <c r="AH155" s="452"/>
      <c r="AI155" s="452"/>
      <c r="AJ155" s="454"/>
      <c r="AK155" s="454">
        <f t="shared" si="34"/>
        <v>0</v>
      </c>
      <c r="AL155" s="454">
        <f t="shared" si="35"/>
        <v>0</v>
      </c>
      <c r="AM155" s="454">
        <v>600</v>
      </c>
      <c r="AN155" s="454">
        <v>594</v>
      </c>
      <c r="AO155" s="454"/>
      <c r="AP155" s="454"/>
      <c r="AQ155" s="452"/>
      <c r="AR155" s="452"/>
      <c r="AS155" s="494">
        <v>600</v>
      </c>
      <c r="AT155" s="494">
        <v>594</v>
      </c>
      <c r="AU155" s="495"/>
      <c r="AV155" s="495"/>
      <c r="AW155" s="147"/>
      <c r="AX155" s="119"/>
      <c r="BB155" s="119">
        <v>1</v>
      </c>
      <c r="BC155" s="119">
        <v>6</v>
      </c>
    </row>
    <row r="156" spans="1:55" ht="31.5" x14ac:dyDescent="0.25">
      <c r="A156" s="448" t="s">
        <v>717</v>
      </c>
      <c r="B156" s="449" t="s">
        <v>988</v>
      </c>
      <c r="C156" s="450" t="s">
        <v>63</v>
      </c>
      <c r="D156" s="450" t="s">
        <v>989</v>
      </c>
      <c r="E156" s="450" t="s">
        <v>65</v>
      </c>
      <c r="F156" s="450"/>
      <c r="G156" s="452"/>
      <c r="H156" s="452"/>
      <c r="I156" s="492"/>
      <c r="J156" s="492"/>
      <c r="K156" s="492"/>
      <c r="L156" s="492"/>
      <c r="M156" s="492"/>
      <c r="N156" s="492"/>
      <c r="O156" s="492"/>
      <c r="P156" s="492"/>
      <c r="Q156" s="492"/>
      <c r="R156" s="492"/>
      <c r="S156" s="492"/>
      <c r="T156" s="492"/>
      <c r="U156" s="492"/>
      <c r="V156" s="492"/>
      <c r="W156" s="492"/>
      <c r="X156" s="453">
        <v>2056</v>
      </c>
      <c r="Y156" s="453">
        <v>2043</v>
      </c>
      <c r="Z156" s="453"/>
      <c r="AA156" s="453"/>
      <c r="AB156" s="453"/>
      <c r="AC156" s="452"/>
      <c r="AD156" s="452"/>
      <c r="AE156" s="452"/>
      <c r="AF156" s="452"/>
      <c r="AG156" s="452"/>
      <c r="AH156" s="452"/>
      <c r="AI156" s="452"/>
      <c r="AJ156" s="454"/>
      <c r="AK156" s="454">
        <f t="shared" si="34"/>
        <v>0</v>
      </c>
      <c r="AL156" s="454">
        <f t="shared" si="35"/>
        <v>0</v>
      </c>
      <c r="AM156" s="454">
        <v>2056</v>
      </c>
      <c r="AN156" s="454">
        <v>2043</v>
      </c>
      <c r="AO156" s="454"/>
      <c r="AP156" s="454"/>
      <c r="AQ156" s="452"/>
      <c r="AR156" s="452"/>
      <c r="AS156" s="494">
        <v>2056</v>
      </c>
      <c r="AT156" s="494">
        <v>2043</v>
      </c>
      <c r="AU156" s="495"/>
      <c r="AV156" s="495"/>
      <c r="AW156" s="147"/>
      <c r="AX156" s="119"/>
      <c r="BB156" s="119">
        <v>1</v>
      </c>
      <c r="BC156" s="119">
        <v>6</v>
      </c>
    </row>
    <row r="157" spans="1:55" ht="47.25" x14ac:dyDescent="0.25">
      <c r="A157" s="448" t="s">
        <v>721</v>
      </c>
      <c r="B157" s="449" t="s">
        <v>990</v>
      </c>
      <c r="C157" s="450" t="s">
        <v>64</v>
      </c>
      <c r="D157" s="450" t="s">
        <v>991</v>
      </c>
      <c r="E157" s="450" t="s">
        <v>65</v>
      </c>
      <c r="F157" s="450"/>
      <c r="G157" s="452"/>
      <c r="H157" s="452"/>
      <c r="I157" s="492"/>
      <c r="J157" s="492"/>
      <c r="K157" s="492"/>
      <c r="L157" s="492"/>
      <c r="M157" s="492"/>
      <c r="N157" s="492"/>
      <c r="O157" s="492"/>
      <c r="P157" s="492"/>
      <c r="Q157" s="492"/>
      <c r="R157" s="492"/>
      <c r="S157" s="492"/>
      <c r="T157" s="492"/>
      <c r="U157" s="492"/>
      <c r="V157" s="492"/>
      <c r="W157" s="492"/>
      <c r="X157" s="453">
        <v>1990</v>
      </c>
      <c r="Y157" s="453">
        <v>1970</v>
      </c>
      <c r="Z157" s="453"/>
      <c r="AA157" s="453"/>
      <c r="AB157" s="453"/>
      <c r="AC157" s="452"/>
      <c r="AD157" s="452"/>
      <c r="AE157" s="452"/>
      <c r="AF157" s="452"/>
      <c r="AG157" s="452"/>
      <c r="AH157" s="452"/>
      <c r="AI157" s="452"/>
      <c r="AJ157" s="454"/>
      <c r="AK157" s="454">
        <f t="shared" si="34"/>
        <v>0</v>
      </c>
      <c r="AL157" s="454">
        <f t="shared" si="35"/>
        <v>0</v>
      </c>
      <c r="AM157" s="454">
        <v>1990</v>
      </c>
      <c r="AN157" s="454">
        <v>1970</v>
      </c>
      <c r="AO157" s="454"/>
      <c r="AP157" s="454"/>
      <c r="AQ157" s="452"/>
      <c r="AR157" s="452"/>
      <c r="AS157" s="494">
        <v>1990</v>
      </c>
      <c r="AT157" s="494">
        <v>1970</v>
      </c>
      <c r="AU157" s="495"/>
      <c r="AV157" s="495"/>
      <c r="AW157" s="147"/>
      <c r="AX157" s="119"/>
      <c r="BB157" s="119">
        <v>1</v>
      </c>
      <c r="BC157" s="119">
        <v>6</v>
      </c>
    </row>
    <row r="158" spans="1:55" ht="47.25" x14ac:dyDescent="0.25">
      <c r="A158" s="448" t="s">
        <v>768</v>
      </c>
      <c r="B158" s="449" t="s">
        <v>992</v>
      </c>
      <c r="C158" s="450" t="s">
        <v>64</v>
      </c>
      <c r="D158" s="450" t="s">
        <v>66</v>
      </c>
      <c r="E158" s="450" t="s">
        <v>65</v>
      </c>
      <c r="F158" s="450"/>
      <c r="G158" s="452"/>
      <c r="H158" s="452"/>
      <c r="I158" s="492"/>
      <c r="J158" s="492"/>
      <c r="K158" s="492"/>
      <c r="L158" s="492"/>
      <c r="M158" s="492"/>
      <c r="N158" s="492"/>
      <c r="O158" s="492"/>
      <c r="P158" s="492"/>
      <c r="Q158" s="492"/>
      <c r="R158" s="492"/>
      <c r="S158" s="492"/>
      <c r="T158" s="492"/>
      <c r="U158" s="492"/>
      <c r="V158" s="492"/>
      <c r="W158" s="492"/>
      <c r="X158" s="453">
        <v>1775</v>
      </c>
      <c r="Y158" s="453">
        <v>1760</v>
      </c>
      <c r="Z158" s="453"/>
      <c r="AA158" s="453"/>
      <c r="AB158" s="453"/>
      <c r="AC158" s="452"/>
      <c r="AD158" s="452"/>
      <c r="AE158" s="452"/>
      <c r="AF158" s="452"/>
      <c r="AG158" s="452"/>
      <c r="AH158" s="452"/>
      <c r="AI158" s="452"/>
      <c r="AJ158" s="454"/>
      <c r="AK158" s="454">
        <f t="shared" si="34"/>
        <v>0</v>
      </c>
      <c r="AL158" s="454">
        <f t="shared" si="35"/>
        <v>0</v>
      </c>
      <c r="AM158" s="454">
        <v>1775</v>
      </c>
      <c r="AN158" s="454">
        <v>1760</v>
      </c>
      <c r="AO158" s="454"/>
      <c r="AP158" s="454"/>
      <c r="AQ158" s="452"/>
      <c r="AR158" s="452"/>
      <c r="AS158" s="494">
        <v>1775</v>
      </c>
      <c r="AT158" s="494">
        <v>1760</v>
      </c>
      <c r="AU158" s="495"/>
      <c r="AV158" s="495"/>
      <c r="AW158" s="147"/>
      <c r="AX158" s="119"/>
      <c r="BB158" s="119">
        <v>1</v>
      </c>
      <c r="BC158" s="119">
        <v>6</v>
      </c>
    </row>
    <row r="159" spans="1:55" ht="31.5" x14ac:dyDescent="0.25">
      <c r="A159" s="448" t="s">
        <v>771</v>
      </c>
      <c r="B159" s="449" t="s">
        <v>993</v>
      </c>
      <c r="C159" s="450" t="s">
        <v>64</v>
      </c>
      <c r="D159" s="450" t="s">
        <v>994</v>
      </c>
      <c r="E159" s="450" t="s">
        <v>65</v>
      </c>
      <c r="F159" s="450"/>
      <c r="G159" s="452"/>
      <c r="H159" s="452"/>
      <c r="I159" s="492"/>
      <c r="J159" s="492"/>
      <c r="K159" s="492"/>
      <c r="L159" s="492"/>
      <c r="M159" s="492"/>
      <c r="N159" s="492"/>
      <c r="O159" s="492"/>
      <c r="P159" s="492"/>
      <c r="Q159" s="492"/>
      <c r="R159" s="492"/>
      <c r="S159" s="492"/>
      <c r="T159" s="492"/>
      <c r="U159" s="492"/>
      <c r="V159" s="492"/>
      <c r="W159" s="492"/>
      <c r="X159" s="453">
        <v>598</v>
      </c>
      <c r="Y159" s="453">
        <v>592</v>
      </c>
      <c r="Z159" s="453"/>
      <c r="AA159" s="453"/>
      <c r="AB159" s="453"/>
      <c r="AC159" s="452"/>
      <c r="AD159" s="452"/>
      <c r="AE159" s="452"/>
      <c r="AF159" s="452"/>
      <c r="AG159" s="452"/>
      <c r="AH159" s="452"/>
      <c r="AI159" s="452"/>
      <c r="AJ159" s="454"/>
      <c r="AK159" s="454">
        <f t="shared" si="34"/>
        <v>0</v>
      </c>
      <c r="AL159" s="454">
        <f t="shared" si="35"/>
        <v>0</v>
      </c>
      <c r="AM159" s="454">
        <v>598</v>
      </c>
      <c r="AN159" s="454">
        <v>592</v>
      </c>
      <c r="AO159" s="454"/>
      <c r="AP159" s="454"/>
      <c r="AQ159" s="452"/>
      <c r="AR159" s="452"/>
      <c r="AS159" s="494">
        <v>598</v>
      </c>
      <c r="AT159" s="494">
        <v>592</v>
      </c>
      <c r="AU159" s="495"/>
      <c r="AV159" s="495"/>
      <c r="AW159" s="147"/>
      <c r="AX159" s="119"/>
      <c r="BB159" s="119">
        <v>1</v>
      </c>
      <c r="BC159" s="119">
        <v>6</v>
      </c>
    </row>
    <row r="160" spans="1:55" ht="31.5" x14ac:dyDescent="0.25">
      <c r="A160" s="448" t="s">
        <v>774</v>
      </c>
      <c r="B160" s="449" t="s">
        <v>995</v>
      </c>
      <c r="C160" s="450" t="s">
        <v>64</v>
      </c>
      <c r="D160" s="450" t="s">
        <v>880</v>
      </c>
      <c r="E160" s="450" t="s">
        <v>65</v>
      </c>
      <c r="F160" s="450"/>
      <c r="G160" s="452"/>
      <c r="H160" s="452"/>
      <c r="I160" s="492"/>
      <c r="J160" s="492"/>
      <c r="K160" s="492"/>
      <c r="L160" s="492"/>
      <c r="M160" s="492"/>
      <c r="N160" s="492"/>
      <c r="O160" s="492"/>
      <c r="P160" s="492"/>
      <c r="Q160" s="492"/>
      <c r="R160" s="492"/>
      <c r="S160" s="492"/>
      <c r="T160" s="492"/>
      <c r="U160" s="492"/>
      <c r="V160" s="492"/>
      <c r="W160" s="492"/>
      <c r="X160" s="453">
        <v>1000</v>
      </c>
      <c r="Y160" s="453">
        <v>991</v>
      </c>
      <c r="Z160" s="453"/>
      <c r="AA160" s="453"/>
      <c r="AB160" s="453"/>
      <c r="AC160" s="452"/>
      <c r="AD160" s="452"/>
      <c r="AE160" s="452"/>
      <c r="AF160" s="452"/>
      <c r="AG160" s="452"/>
      <c r="AH160" s="452"/>
      <c r="AI160" s="452"/>
      <c r="AJ160" s="454"/>
      <c r="AK160" s="454">
        <f t="shared" si="34"/>
        <v>0</v>
      </c>
      <c r="AL160" s="454">
        <f t="shared" si="35"/>
        <v>0</v>
      </c>
      <c r="AM160" s="454">
        <v>1000</v>
      </c>
      <c r="AN160" s="454">
        <v>991</v>
      </c>
      <c r="AO160" s="454"/>
      <c r="AP160" s="454"/>
      <c r="AQ160" s="452"/>
      <c r="AR160" s="452"/>
      <c r="AS160" s="494">
        <v>1000</v>
      </c>
      <c r="AT160" s="494">
        <v>991</v>
      </c>
      <c r="AU160" s="495"/>
      <c r="AV160" s="495"/>
      <c r="AW160" s="147"/>
      <c r="AX160" s="119"/>
      <c r="BB160" s="119">
        <v>1</v>
      </c>
      <c r="BC160" s="119">
        <v>6</v>
      </c>
    </row>
    <row r="161" spans="1:55" ht="47.25" x14ac:dyDescent="0.25">
      <c r="A161" s="448" t="s">
        <v>777</v>
      </c>
      <c r="B161" s="449" t="s">
        <v>996</v>
      </c>
      <c r="C161" s="450" t="s">
        <v>64</v>
      </c>
      <c r="D161" s="450" t="s">
        <v>880</v>
      </c>
      <c r="E161" s="450" t="s">
        <v>65</v>
      </c>
      <c r="F161" s="450"/>
      <c r="G161" s="452"/>
      <c r="H161" s="452"/>
      <c r="I161" s="492"/>
      <c r="J161" s="492"/>
      <c r="K161" s="492"/>
      <c r="L161" s="492"/>
      <c r="M161" s="492"/>
      <c r="N161" s="492"/>
      <c r="O161" s="492"/>
      <c r="P161" s="492"/>
      <c r="Q161" s="492"/>
      <c r="R161" s="492"/>
      <c r="S161" s="492"/>
      <c r="T161" s="492"/>
      <c r="U161" s="492"/>
      <c r="V161" s="492"/>
      <c r="W161" s="492"/>
      <c r="X161" s="453">
        <v>1000</v>
      </c>
      <c r="Y161" s="453">
        <v>988</v>
      </c>
      <c r="Z161" s="453"/>
      <c r="AA161" s="453"/>
      <c r="AB161" s="453"/>
      <c r="AC161" s="452"/>
      <c r="AD161" s="452"/>
      <c r="AE161" s="452"/>
      <c r="AF161" s="452"/>
      <c r="AG161" s="452"/>
      <c r="AH161" s="452"/>
      <c r="AI161" s="452"/>
      <c r="AJ161" s="454"/>
      <c r="AK161" s="454">
        <f t="shared" si="34"/>
        <v>0</v>
      </c>
      <c r="AL161" s="454">
        <f t="shared" si="35"/>
        <v>0</v>
      </c>
      <c r="AM161" s="454">
        <v>1000</v>
      </c>
      <c r="AN161" s="454">
        <v>988</v>
      </c>
      <c r="AO161" s="454"/>
      <c r="AP161" s="454"/>
      <c r="AQ161" s="452"/>
      <c r="AR161" s="452"/>
      <c r="AS161" s="494">
        <v>1000</v>
      </c>
      <c r="AT161" s="494">
        <v>988</v>
      </c>
      <c r="AU161" s="495"/>
      <c r="AV161" s="495"/>
      <c r="AW161" s="147"/>
      <c r="AX161" s="119"/>
      <c r="BB161" s="119">
        <v>1</v>
      </c>
      <c r="BC161" s="119">
        <v>6</v>
      </c>
    </row>
    <row r="162" spans="1:55" ht="47.25" x14ac:dyDescent="0.25">
      <c r="A162" s="448" t="s">
        <v>781</v>
      </c>
      <c r="B162" s="449" t="s">
        <v>997</v>
      </c>
      <c r="C162" s="450" t="s">
        <v>64</v>
      </c>
      <c r="D162" s="450" t="s">
        <v>770</v>
      </c>
      <c r="E162" s="450" t="s">
        <v>65</v>
      </c>
      <c r="F162" s="450"/>
      <c r="G162" s="452"/>
      <c r="H162" s="452"/>
      <c r="I162" s="492"/>
      <c r="J162" s="492"/>
      <c r="K162" s="492"/>
      <c r="L162" s="492"/>
      <c r="M162" s="492"/>
      <c r="N162" s="492"/>
      <c r="O162" s="492"/>
      <c r="P162" s="492"/>
      <c r="Q162" s="492"/>
      <c r="R162" s="492"/>
      <c r="S162" s="492"/>
      <c r="T162" s="492"/>
      <c r="U162" s="492"/>
      <c r="V162" s="492"/>
      <c r="W162" s="492"/>
      <c r="X162" s="453">
        <v>1016</v>
      </c>
      <c r="Y162" s="453">
        <v>1006</v>
      </c>
      <c r="Z162" s="453"/>
      <c r="AA162" s="453"/>
      <c r="AB162" s="453"/>
      <c r="AC162" s="452"/>
      <c r="AD162" s="452"/>
      <c r="AE162" s="452"/>
      <c r="AF162" s="452"/>
      <c r="AG162" s="452"/>
      <c r="AH162" s="452"/>
      <c r="AI162" s="452"/>
      <c r="AJ162" s="454"/>
      <c r="AK162" s="454">
        <f t="shared" si="34"/>
        <v>0</v>
      </c>
      <c r="AL162" s="454">
        <f t="shared" si="35"/>
        <v>0</v>
      </c>
      <c r="AM162" s="454">
        <v>1016</v>
      </c>
      <c r="AN162" s="454">
        <v>1006</v>
      </c>
      <c r="AO162" s="454"/>
      <c r="AP162" s="454"/>
      <c r="AQ162" s="452"/>
      <c r="AR162" s="452"/>
      <c r="AS162" s="494">
        <v>1016</v>
      </c>
      <c r="AT162" s="494">
        <v>1006</v>
      </c>
      <c r="AU162" s="495"/>
      <c r="AV162" s="495"/>
      <c r="AW162" s="147"/>
      <c r="AX162" s="119"/>
      <c r="BB162" s="119">
        <v>1</v>
      </c>
      <c r="BC162" s="119">
        <v>6</v>
      </c>
    </row>
    <row r="163" spans="1:55" ht="47.25" x14ac:dyDescent="0.25">
      <c r="A163" s="448" t="s">
        <v>784</v>
      </c>
      <c r="B163" s="449" t="s">
        <v>998</v>
      </c>
      <c r="C163" s="450" t="s">
        <v>67</v>
      </c>
      <c r="D163" s="450" t="s">
        <v>999</v>
      </c>
      <c r="E163" s="450" t="s">
        <v>55</v>
      </c>
      <c r="F163" s="450"/>
      <c r="G163" s="452"/>
      <c r="H163" s="452"/>
      <c r="I163" s="492"/>
      <c r="J163" s="492"/>
      <c r="K163" s="492"/>
      <c r="L163" s="492"/>
      <c r="M163" s="492"/>
      <c r="N163" s="492"/>
      <c r="O163" s="492"/>
      <c r="P163" s="492"/>
      <c r="Q163" s="492"/>
      <c r="R163" s="492"/>
      <c r="S163" s="492"/>
      <c r="T163" s="492"/>
      <c r="U163" s="492"/>
      <c r="V163" s="492"/>
      <c r="W163" s="492"/>
      <c r="X163" s="453">
        <v>2000</v>
      </c>
      <c r="Y163" s="453">
        <v>1740</v>
      </c>
      <c r="Z163" s="453"/>
      <c r="AA163" s="453"/>
      <c r="AB163" s="453"/>
      <c r="AC163" s="452"/>
      <c r="AD163" s="452"/>
      <c r="AE163" s="452"/>
      <c r="AF163" s="452"/>
      <c r="AG163" s="452"/>
      <c r="AH163" s="452">
        <v>660</v>
      </c>
      <c r="AI163" s="452">
        <v>660</v>
      </c>
      <c r="AJ163" s="454"/>
      <c r="AK163" s="454">
        <f t="shared" si="34"/>
        <v>0</v>
      </c>
      <c r="AL163" s="454">
        <f t="shared" si="35"/>
        <v>0</v>
      </c>
      <c r="AM163" s="454">
        <v>2000</v>
      </c>
      <c r="AN163" s="454">
        <v>1740</v>
      </c>
      <c r="AO163" s="454"/>
      <c r="AP163" s="454"/>
      <c r="AQ163" s="452"/>
      <c r="AR163" s="452"/>
      <c r="AS163" s="494">
        <v>2000</v>
      </c>
      <c r="AT163" s="494">
        <v>1740</v>
      </c>
      <c r="AU163" s="495"/>
      <c r="AV163" s="495"/>
      <c r="AW163" s="147"/>
      <c r="AX163" s="119"/>
      <c r="BB163" s="119">
        <v>1</v>
      </c>
      <c r="BC163" s="119">
        <v>6</v>
      </c>
    </row>
    <row r="164" spans="1:55" ht="31.5" x14ac:dyDescent="0.25">
      <c r="A164" s="448" t="s">
        <v>787</v>
      </c>
      <c r="B164" s="449" t="s">
        <v>1000</v>
      </c>
      <c r="C164" s="450" t="s">
        <v>67</v>
      </c>
      <c r="D164" s="450" t="s">
        <v>1001</v>
      </c>
      <c r="E164" s="450" t="s">
        <v>65</v>
      </c>
      <c r="F164" s="450"/>
      <c r="G164" s="452"/>
      <c r="H164" s="452"/>
      <c r="I164" s="492"/>
      <c r="J164" s="492"/>
      <c r="K164" s="492"/>
      <c r="L164" s="492"/>
      <c r="M164" s="492"/>
      <c r="N164" s="492"/>
      <c r="O164" s="492"/>
      <c r="P164" s="492"/>
      <c r="Q164" s="492"/>
      <c r="R164" s="492"/>
      <c r="S164" s="492"/>
      <c r="T164" s="492"/>
      <c r="U164" s="492"/>
      <c r="V164" s="492"/>
      <c r="W164" s="492"/>
      <c r="X164" s="453">
        <v>600</v>
      </c>
      <c r="Y164" s="453">
        <v>594</v>
      </c>
      <c r="Z164" s="453"/>
      <c r="AA164" s="453"/>
      <c r="AB164" s="453"/>
      <c r="AC164" s="452"/>
      <c r="AD164" s="452"/>
      <c r="AE164" s="452"/>
      <c r="AF164" s="452"/>
      <c r="AG164" s="452"/>
      <c r="AH164" s="452"/>
      <c r="AI164" s="452"/>
      <c r="AJ164" s="454"/>
      <c r="AK164" s="454">
        <f t="shared" si="34"/>
        <v>0</v>
      </c>
      <c r="AL164" s="454">
        <f t="shared" si="35"/>
        <v>0</v>
      </c>
      <c r="AM164" s="454">
        <v>600</v>
      </c>
      <c r="AN164" s="454">
        <v>594</v>
      </c>
      <c r="AO164" s="454"/>
      <c r="AP164" s="454"/>
      <c r="AQ164" s="452"/>
      <c r="AR164" s="452"/>
      <c r="AS164" s="494">
        <v>600</v>
      </c>
      <c r="AT164" s="494">
        <v>594</v>
      </c>
      <c r="AU164" s="495"/>
      <c r="AV164" s="495"/>
      <c r="AW164" s="147"/>
      <c r="AX164" s="119"/>
      <c r="BB164" s="119">
        <v>1</v>
      </c>
      <c r="BC164" s="119">
        <v>6</v>
      </c>
    </row>
    <row r="165" spans="1:55" ht="31.5" x14ac:dyDescent="0.25">
      <c r="A165" s="448" t="s">
        <v>791</v>
      </c>
      <c r="B165" s="449" t="s">
        <v>1002</v>
      </c>
      <c r="C165" s="450" t="s">
        <v>67</v>
      </c>
      <c r="D165" s="450" t="s">
        <v>1003</v>
      </c>
      <c r="E165" s="450" t="s">
        <v>65</v>
      </c>
      <c r="F165" s="450"/>
      <c r="G165" s="452"/>
      <c r="H165" s="452"/>
      <c r="I165" s="492"/>
      <c r="J165" s="492"/>
      <c r="K165" s="492"/>
      <c r="L165" s="492"/>
      <c r="M165" s="492"/>
      <c r="N165" s="492"/>
      <c r="O165" s="492"/>
      <c r="P165" s="492"/>
      <c r="Q165" s="492"/>
      <c r="R165" s="492"/>
      <c r="S165" s="492"/>
      <c r="T165" s="492"/>
      <c r="U165" s="492"/>
      <c r="V165" s="492"/>
      <c r="W165" s="492"/>
      <c r="X165" s="453">
        <v>470</v>
      </c>
      <c r="Y165" s="453">
        <v>462</v>
      </c>
      <c r="Z165" s="453"/>
      <c r="AA165" s="453"/>
      <c r="AB165" s="453"/>
      <c r="AC165" s="452"/>
      <c r="AD165" s="452"/>
      <c r="AE165" s="452"/>
      <c r="AF165" s="452"/>
      <c r="AG165" s="452"/>
      <c r="AH165" s="452"/>
      <c r="AI165" s="452"/>
      <c r="AJ165" s="454"/>
      <c r="AK165" s="454">
        <f t="shared" si="34"/>
        <v>0</v>
      </c>
      <c r="AL165" s="454">
        <f t="shared" si="35"/>
        <v>0</v>
      </c>
      <c r="AM165" s="454">
        <v>470</v>
      </c>
      <c r="AN165" s="454">
        <v>462</v>
      </c>
      <c r="AO165" s="454"/>
      <c r="AP165" s="454"/>
      <c r="AQ165" s="452"/>
      <c r="AR165" s="452"/>
      <c r="AS165" s="494">
        <v>470</v>
      </c>
      <c r="AT165" s="494">
        <v>462</v>
      </c>
      <c r="AU165" s="495"/>
      <c r="AV165" s="495"/>
      <c r="AW165" s="147"/>
      <c r="AX165" s="119"/>
      <c r="BB165" s="119">
        <v>1</v>
      </c>
      <c r="BC165" s="119">
        <v>6</v>
      </c>
    </row>
    <row r="166" spans="1:55" ht="47.25" x14ac:dyDescent="0.25">
      <c r="A166" s="448" t="s">
        <v>795</v>
      </c>
      <c r="B166" s="449" t="s">
        <v>1004</v>
      </c>
      <c r="C166" s="450" t="s">
        <v>67</v>
      </c>
      <c r="D166" s="450" t="s">
        <v>800</v>
      </c>
      <c r="E166" s="450" t="s">
        <v>65</v>
      </c>
      <c r="F166" s="450"/>
      <c r="G166" s="452"/>
      <c r="H166" s="452"/>
      <c r="I166" s="492"/>
      <c r="J166" s="492"/>
      <c r="K166" s="492"/>
      <c r="L166" s="492"/>
      <c r="M166" s="492"/>
      <c r="N166" s="492"/>
      <c r="O166" s="492"/>
      <c r="P166" s="492"/>
      <c r="Q166" s="492"/>
      <c r="R166" s="492"/>
      <c r="S166" s="492"/>
      <c r="T166" s="492"/>
      <c r="U166" s="492"/>
      <c r="V166" s="492"/>
      <c r="W166" s="492"/>
      <c r="X166" s="453">
        <v>500</v>
      </c>
      <c r="Y166" s="453">
        <v>490</v>
      </c>
      <c r="Z166" s="453"/>
      <c r="AA166" s="453"/>
      <c r="AB166" s="453"/>
      <c r="AC166" s="452"/>
      <c r="AD166" s="452"/>
      <c r="AE166" s="452"/>
      <c r="AF166" s="452"/>
      <c r="AG166" s="452"/>
      <c r="AH166" s="452"/>
      <c r="AI166" s="452"/>
      <c r="AJ166" s="454"/>
      <c r="AK166" s="454">
        <f t="shared" si="34"/>
        <v>0</v>
      </c>
      <c r="AL166" s="454">
        <f t="shared" si="35"/>
        <v>0</v>
      </c>
      <c r="AM166" s="454">
        <v>500</v>
      </c>
      <c r="AN166" s="454">
        <v>490</v>
      </c>
      <c r="AO166" s="454"/>
      <c r="AP166" s="454"/>
      <c r="AQ166" s="452"/>
      <c r="AR166" s="452"/>
      <c r="AS166" s="494">
        <v>500</v>
      </c>
      <c r="AT166" s="494">
        <v>490</v>
      </c>
      <c r="AU166" s="495"/>
      <c r="AV166" s="495"/>
      <c r="AW166" s="147"/>
      <c r="AX166" s="119"/>
      <c r="BB166" s="119">
        <v>1</v>
      </c>
      <c r="BC166" s="119">
        <v>6</v>
      </c>
    </row>
    <row r="167" spans="1:55" ht="31.5" x14ac:dyDescent="0.25">
      <c r="A167" s="448" t="s">
        <v>798</v>
      </c>
      <c r="B167" s="449" t="s">
        <v>1005</v>
      </c>
      <c r="C167" s="450" t="s">
        <v>67</v>
      </c>
      <c r="D167" s="450" t="s">
        <v>986</v>
      </c>
      <c r="E167" s="450" t="s">
        <v>65</v>
      </c>
      <c r="F167" s="450"/>
      <c r="G167" s="452"/>
      <c r="H167" s="452"/>
      <c r="I167" s="492"/>
      <c r="J167" s="492"/>
      <c r="K167" s="492"/>
      <c r="L167" s="492"/>
      <c r="M167" s="492"/>
      <c r="N167" s="492"/>
      <c r="O167" s="492"/>
      <c r="P167" s="492"/>
      <c r="Q167" s="492"/>
      <c r="R167" s="492"/>
      <c r="S167" s="492"/>
      <c r="T167" s="492"/>
      <c r="U167" s="492"/>
      <c r="V167" s="492"/>
      <c r="W167" s="492"/>
      <c r="X167" s="453">
        <v>600</v>
      </c>
      <c r="Y167" s="453">
        <v>594</v>
      </c>
      <c r="Z167" s="453"/>
      <c r="AA167" s="453"/>
      <c r="AB167" s="453"/>
      <c r="AC167" s="452"/>
      <c r="AD167" s="452"/>
      <c r="AE167" s="452"/>
      <c r="AF167" s="452"/>
      <c r="AG167" s="452"/>
      <c r="AH167" s="452"/>
      <c r="AI167" s="452"/>
      <c r="AJ167" s="454"/>
      <c r="AK167" s="454">
        <f t="shared" si="34"/>
        <v>0</v>
      </c>
      <c r="AL167" s="454">
        <f t="shared" si="35"/>
        <v>0</v>
      </c>
      <c r="AM167" s="454">
        <v>600</v>
      </c>
      <c r="AN167" s="454">
        <v>594</v>
      </c>
      <c r="AO167" s="454"/>
      <c r="AP167" s="454"/>
      <c r="AQ167" s="452"/>
      <c r="AR167" s="452"/>
      <c r="AS167" s="494">
        <v>600</v>
      </c>
      <c r="AT167" s="494">
        <v>594</v>
      </c>
      <c r="AU167" s="495"/>
      <c r="AV167" s="495"/>
      <c r="AW167" s="147"/>
      <c r="AX167" s="119"/>
      <c r="BB167" s="119">
        <v>1</v>
      </c>
      <c r="BC167" s="119">
        <v>6</v>
      </c>
    </row>
    <row r="168" spans="1:55" ht="31.5" x14ac:dyDescent="0.25">
      <c r="A168" s="448" t="s">
        <v>801</v>
      </c>
      <c r="B168" s="449" t="s">
        <v>1006</v>
      </c>
      <c r="C168" s="450" t="s">
        <v>67</v>
      </c>
      <c r="D168" s="450" t="s">
        <v>986</v>
      </c>
      <c r="E168" s="450" t="s">
        <v>65</v>
      </c>
      <c r="F168" s="450"/>
      <c r="G168" s="452"/>
      <c r="H168" s="452"/>
      <c r="I168" s="492"/>
      <c r="J168" s="492"/>
      <c r="K168" s="492"/>
      <c r="L168" s="492"/>
      <c r="M168" s="492"/>
      <c r="N168" s="492"/>
      <c r="O168" s="492"/>
      <c r="P168" s="492"/>
      <c r="Q168" s="492"/>
      <c r="R168" s="492"/>
      <c r="S168" s="492"/>
      <c r="T168" s="492"/>
      <c r="U168" s="492"/>
      <c r="V168" s="492"/>
      <c r="W168" s="492"/>
      <c r="X168" s="453">
        <v>600</v>
      </c>
      <c r="Y168" s="453">
        <v>594</v>
      </c>
      <c r="Z168" s="453"/>
      <c r="AA168" s="453"/>
      <c r="AB168" s="453"/>
      <c r="AC168" s="452"/>
      <c r="AD168" s="452"/>
      <c r="AE168" s="452"/>
      <c r="AF168" s="452"/>
      <c r="AG168" s="452"/>
      <c r="AH168" s="452"/>
      <c r="AI168" s="452"/>
      <c r="AJ168" s="454"/>
      <c r="AK168" s="454">
        <f t="shared" si="34"/>
        <v>0</v>
      </c>
      <c r="AL168" s="454">
        <f t="shared" si="35"/>
        <v>0</v>
      </c>
      <c r="AM168" s="454">
        <v>600</v>
      </c>
      <c r="AN168" s="454">
        <v>594</v>
      </c>
      <c r="AO168" s="454"/>
      <c r="AP168" s="454"/>
      <c r="AQ168" s="452"/>
      <c r="AR168" s="452"/>
      <c r="AS168" s="494">
        <v>600</v>
      </c>
      <c r="AT168" s="494">
        <v>594</v>
      </c>
      <c r="AU168" s="495"/>
      <c r="AV168" s="495"/>
      <c r="AW168" s="147"/>
      <c r="AX168" s="119"/>
      <c r="BB168" s="119">
        <v>1</v>
      </c>
      <c r="BC168" s="119">
        <v>6</v>
      </c>
    </row>
    <row r="169" spans="1:55" ht="31.5" x14ac:dyDescent="0.25">
      <c r="A169" s="448" t="s">
        <v>804</v>
      </c>
      <c r="B169" s="449" t="s">
        <v>1007</v>
      </c>
      <c r="C169" s="450" t="s">
        <v>67</v>
      </c>
      <c r="D169" s="450"/>
      <c r="E169" s="450" t="s">
        <v>65</v>
      </c>
      <c r="F169" s="450"/>
      <c r="G169" s="452"/>
      <c r="H169" s="452"/>
      <c r="I169" s="492"/>
      <c r="J169" s="492"/>
      <c r="K169" s="492"/>
      <c r="L169" s="492"/>
      <c r="M169" s="492"/>
      <c r="N169" s="492"/>
      <c r="O169" s="492"/>
      <c r="P169" s="492"/>
      <c r="Q169" s="492"/>
      <c r="R169" s="492"/>
      <c r="S169" s="492"/>
      <c r="T169" s="492"/>
      <c r="U169" s="492"/>
      <c r="V169" s="492"/>
      <c r="W169" s="492"/>
      <c r="X169" s="453">
        <v>1580</v>
      </c>
      <c r="Y169" s="453">
        <v>1565</v>
      </c>
      <c r="Z169" s="453"/>
      <c r="AA169" s="453"/>
      <c r="AB169" s="453"/>
      <c r="AC169" s="452"/>
      <c r="AD169" s="452"/>
      <c r="AE169" s="452"/>
      <c r="AF169" s="452"/>
      <c r="AG169" s="452"/>
      <c r="AH169" s="452"/>
      <c r="AI169" s="452"/>
      <c r="AJ169" s="454"/>
      <c r="AK169" s="454">
        <f t="shared" si="34"/>
        <v>0</v>
      </c>
      <c r="AL169" s="454">
        <f t="shared" si="35"/>
        <v>0</v>
      </c>
      <c r="AM169" s="454">
        <v>1580</v>
      </c>
      <c r="AN169" s="454">
        <v>1565</v>
      </c>
      <c r="AO169" s="454"/>
      <c r="AP169" s="454"/>
      <c r="AQ169" s="452"/>
      <c r="AR169" s="452"/>
      <c r="AS169" s="494">
        <v>1580</v>
      </c>
      <c r="AT169" s="494">
        <v>1565</v>
      </c>
      <c r="AU169" s="495"/>
      <c r="AV169" s="495"/>
      <c r="AW169" s="147"/>
      <c r="AX169" s="119"/>
      <c r="BB169" s="119">
        <v>1</v>
      </c>
      <c r="BC169" s="119">
        <v>6</v>
      </c>
    </row>
    <row r="170" spans="1:55" ht="63" x14ac:dyDescent="0.25">
      <c r="A170" s="448" t="s">
        <v>806</v>
      </c>
      <c r="B170" s="449" t="s">
        <v>1008</v>
      </c>
      <c r="C170" s="450" t="s">
        <v>68</v>
      </c>
      <c r="D170" s="450" t="s">
        <v>69</v>
      </c>
      <c r="E170" s="450" t="s">
        <v>70</v>
      </c>
      <c r="F170" s="450" t="s">
        <v>1009</v>
      </c>
      <c r="G170" s="452">
        <v>900</v>
      </c>
      <c r="H170" s="452">
        <v>770</v>
      </c>
      <c r="I170" s="492"/>
      <c r="J170" s="492"/>
      <c r="K170" s="492"/>
      <c r="L170" s="492"/>
      <c r="M170" s="492"/>
      <c r="N170" s="492"/>
      <c r="O170" s="492"/>
      <c r="P170" s="492"/>
      <c r="Q170" s="492"/>
      <c r="R170" s="492"/>
      <c r="S170" s="492"/>
      <c r="T170" s="492"/>
      <c r="U170" s="492"/>
      <c r="V170" s="492"/>
      <c r="W170" s="492"/>
      <c r="X170" s="453">
        <v>900</v>
      </c>
      <c r="Y170" s="453">
        <v>770</v>
      </c>
      <c r="Z170" s="453"/>
      <c r="AA170" s="453"/>
      <c r="AB170" s="453"/>
      <c r="AC170" s="452"/>
      <c r="AD170" s="452">
        <v>353</v>
      </c>
      <c r="AE170" s="452"/>
      <c r="AF170" s="452"/>
      <c r="AG170" s="452"/>
      <c r="AH170" s="452">
        <v>417</v>
      </c>
      <c r="AI170" s="452">
        <v>417</v>
      </c>
      <c r="AJ170" s="454"/>
      <c r="AK170" s="454">
        <f t="shared" si="34"/>
        <v>0</v>
      </c>
      <c r="AL170" s="454">
        <f t="shared" si="35"/>
        <v>0</v>
      </c>
      <c r="AM170" s="454">
        <v>900</v>
      </c>
      <c r="AN170" s="454">
        <v>770</v>
      </c>
      <c r="AO170" s="454"/>
      <c r="AP170" s="454"/>
      <c r="AQ170" s="452"/>
      <c r="AR170" s="452"/>
      <c r="AS170" s="494">
        <v>900</v>
      </c>
      <c r="AT170" s="494">
        <v>770</v>
      </c>
      <c r="AU170" s="495"/>
      <c r="AV170" s="495"/>
      <c r="AW170" s="147"/>
      <c r="AX170" s="119"/>
      <c r="BB170" s="119">
        <v>1</v>
      </c>
      <c r="BC170" s="119">
        <v>6</v>
      </c>
    </row>
    <row r="171" spans="1:55" ht="31.5" x14ac:dyDescent="0.25">
      <c r="A171" s="448" t="s">
        <v>808</v>
      </c>
      <c r="B171" s="449" t="s">
        <v>1010</v>
      </c>
      <c r="C171" s="450" t="s">
        <v>68</v>
      </c>
      <c r="D171" s="450" t="s">
        <v>984</v>
      </c>
      <c r="E171" s="450" t="s">
        <v>65</v>
      </c>
      <c r="F171" s="450"/>
      <c r="G171" s="452"/>
      <c r="H171" s="452"/>
      <c r="I171" s="492"/>
      <c r="J171" s="492"/>
      <c r="K171" s="492"/>
      <c r="L171" s="492"/>
      <c r="M171" s="492"/>
      <c r="N171" s="492"/>
      <c r="O171" s="492"/>
      <c r="P171" s="492"/>
      <c r="Q171" s="492"/>
      <c r="R171" s="492"/>
      <c r="S171" s="492"/>
      <c r="T171" s="492"/>
      <c r="U171" s="492"/>
      <c r="V171" s="492"/>
      <c r="W171" s="492"/>
      <c r="X171" s="453">
        <v>2364</v>
      </c>
      <c r="Y171" s="453">
        <v>2341</v>
      </c>
      <c r="Z171" s="453"/>
      <c r="AA171" s="453"/>
      <c r="AB171" s="453"/>
      <c r="AC171" s="452"/>
      <c r="AD171" s="452"/>
      <c r="AE171" s="452"/>
      <c r="AF171" s="452"/>
      <c r="AG171" s="452"/>
      <c r="AH171" s="452"/>
      <c r="AI171" s="452"/>
      <c r="AJ171" s="454"/>
      <c r="AK171" s="454">
        <f t="shared" si="34"/>
        <v>0</v>
      </c>
      <c r="AL171" s="454">
        <f t="shared" si="35"/>
        <v>0</v>
      </c>
      <c r="AM171" s="454">
        <v>2364</v>
      </c>
      <c r="AN171" s="454">
        <v>2341</v>
      </c>
      <c r="AO171" s="454"/>
      <c r="AP171" s="454"/>
      <c r="AQ171" s="452"/>
      <c r="AR171" s="452"/>
      <c r="AS171" s="494">
        <v>2364</v>
      </c>
      <c r="AT171" s="494">
        <v>2341</v>
      </c>
      <c r="AU171" s="495"/>
      <c r="AV171" s="495"/>
      <c r="AW171" s="147"/>
      <c r="AX171" s="119"/>
      <c r="BB171" s="119">
        <v>1</v>
      </c>
      <c r="BC171" s="119">
        <v>6</v>
      </c>
    </row>
    <row r="172" spans="1:55" ht="31.5" x14ac:dyDescent="0.25">
      <c r="A172" s="448" t="s">
        <v>811</v>
      </c>
      <c r="B172" s="449" t="s">
        <v>1011</v>
      </c>
      <c r="C172" s="450" t="s">
        <v>68</v>
      </c>
      <c r="D172" s="450" t="s">
        <v>991</v>
      </c>
      <c r="E172" s="450" t="s">
        <v>65</v>
      </c>
      <c r="F172" s="450"/>
      <c r="G172" s="452"/>
      <c r="H172" s="452"/>
      <c r="I172" s="492"/>
      <c r="J172" s="492"/>
      <c r="K172" s="492"/>
      <c r="L172" s="492"/>
      <c r="M172" s="492"/>
      <c r="N172" s="492"/>
      <c r="O172" s="492"/>
      <c r="P172" s="492"/>
      <c r="Q172" s="492"/>
      <c r="R172" s="492"/>
      <c r="S172" s="492"/>
      <c r="T172" s="492"/>
      <c r="U172" s="492"/>
      <c r="V172" s="492"/>
      <c r="W172" s="492"/>
      <c r="X172" s="453">
        <v>2000</v>
      </c>
      <c r="Y172" s="453">
        <v>1980</v>
      </c>
      <c r="Z172" s="453"/>
      <c r="AA172" s="453"/>
      <c r="AB172" s="453"/>
      <c r="AC172" s="452"/>
      <c r="AD172" s="452"/>
      <c r="AE172" s="452"/>
      <c r="AF172" s="452"/>
      <c r="AG172" s="452"/>
      <c r="AH172" s="452"/>
      <c r="AI172" s="452"/>
      <c r="AJ172" s="454"/>
      <c r="AK172" s="454">
        <f t="shared" si="34"/>
        <v>0</v>
      </c>
      <c r="AL172" s="454">
        <f t="shared" si="35"/>
        <v>0</v>
      </c>
      <c r="AM172" s="454">
        <v>2000</v>
      </c>
      <c r="AN172" s="454">
        <v>1980</v>
      </c>
      <c r="AO172" s="454"/>
      <c r="AP172" s="454"/>
      <c r="AQ172" s="452"/>
      <c r="AR172" s="452"/>
      <c r="AS172" s="494">
        <v>2000</v>
      </c>
      <c r="AT172" s="494">
        <v>1980</v>
      </c>
      <c r="AU172" s="495"/>
      <c r="AV172" s="495"/>
      <c r="AW172" s="147"/>
      <c r="AX172" s="119"/>
      <c r="BB172" s="119">
        <v>1</v>
      </c>
      <c r="BC172" s="119">
        <v>6</v>
      </c>
    </row>
    <row r="173" spans="1:55" ht="31.5" x14ac:dyDescent="0.25">
      <c r="A173" s="448" t="s">
        <v>813</v>
      </c>
      <c r="B173" s="449" t="s">
        <v>1012</v>
      </c>
      <c r="C173" s="450" t="s">
        <v>68</v>
      </c>
      <c r="D173" s="450" t="s">
        <v>986</v>
      </c>
      <c r="E173" s="450" t="s">
        <v>65</v>
      </c>
      <c r="F173" s="450"/>
      <c r="G173" s="452"/>
      <c r="H173" s="452"/>
      <c r="I173" s="492"/>
      <c r="J173" s="492"/>
      <c r="K173" s="492"/>
      <c r="L173" s="492"/>
      <c r="M173" s="492"/>
      <c r="N173" s="492"/>
      <c r="O173" s="492"/>
      <c r="P173" s="492"/>
      <c r="Q173" s="492"/>
      <c r="R173" s="492"/>
      <c r="S173" s="492"/>
      <c r="T173" s="492"/>
      <c r="U173" s="492"/>
      <c r="V173" s="492"/>
      <c r="W173" s="492"/>
      <c r="X173" s="453">
        <v>600</v>
      </c>
      <c r="Y173" s="453">
        <v>594</v>
      </c>
      <c r="Z173" s="453"/>
      <c r="AA173" s="453"/>
      <c r="AB173" s="453"/>
      <c r="AC173" s="452"/>
      <c r="AD173" s="452"/>
      <c r="AE173" s="452"/>
      <c r="AF173" s="452"/>
      <c r="AG173" s="452"/>
      <c r="AH173" s="452"/>
      <c r="AI173" s="452"/>
      <c r="AJ173" s="454"/>
      <c r="AK173" s="454">
        <f t="shared" si="34"/>
        <v>0</v>
      </c>
      <c r="AL173" s="454">
        <f t="shared" si="35"/>
        <v>0</v>
      </c>
      <c r="AM173" s="454">
        <v>600</v>
      </c>
      <c r="AN173" s="454">
        <v>594</v>
      </c>
      <c r="AO173" s="454"/>
      <c r="AP173" s="454"/>
      <c r="AQ173" s="452"/>
      <c r="AR173" s="452"/>
      <c r="AS173" s="494">
        <v>600</v>
      </c>
      <c r="AT173" s="494">
        <v>594</v>
      </c>
      <c r="AU173" s="495"/>
      <c r="AV173" s="495"/>
      <c r="AW173" s="147"/>
      <c r="AX173" s="119"/>
      <c r="BB173" s="119">
        <v>1</v>
      </c>
      <c r="BC173" s="119">
        <v>6</v>
      </c>
    </row>
    <row r="174" spans="1:55" ht="31.5" x14ac:dyDescent="0.25">
      <c r="A174" s="448" t="s">
        <v>816</v>
      </c>
      <c r="B174" s="449" t="s">
        <v>1013</v>
      </c>
      <c r="C174" s="450" t="s">
        <v>68</v>
      </c>
      <c r="D174" s="450" t="s">
        <v>986</v>
      </c>
      <c r="E174" s="450" t="s">
        <v>65</v>
      </c>
      <c r="F174" s="450"/>
      <c r="G174" s="452"/>
      <c r="H174" s="452"/>
      <c r="I174" s="492"/>
      <c r="J174" s="492"/>
      <c r="K174" s="492"/>
      <c r="L174" s="492"/>
      <c r="M174" s="492"/>
      <c r="N174" s="492"/>
      <c r="O174" s="492"/>
      <c r="P174" s="492"/>
      <c r="Q174" s="492"/>
      <c r="R174" s="492"/>
      <c r="S174" s="492"/>
      <c r="T174" s="492"/>
      <c r="U174" s="492"/>
      <c r="V174" s="492"/>
      <c r="W174" s="492"/>
      <c r="X174" s="453">
        <v>600</v>
      </c>
      <c r="Y174" s="453">
        <v>594</v>
      </c>
      <c r="Z174" s="453"/>
      <c r="AA174" s="453"/>
      <c r="AB174" s="453"/>
      <c r="AC174" s="452"/>
      <c r="AD174" s="452"/>
      <c r="AE174" s="452"/>
      <c r="AF174" s="452"/>
      <c r="AG174" s="452"/>
      <c r="AH174" s="452"/>
      <c r="AI174" s="452"/>
      <c r="AJ174" s="454"/>
      <c r="AK174" s="454">
        <f t="shared" si="34"/>
        <v>0</v>
      </c>
      <c r="AL174" s="454">
        <f t="shared" si="35"/>
        <v>0</v>
      </c>
      <c r="AM174" s="454">
        <v>600</v>
      </c>
      <c r="AN174" s="454">
        <v>594</v>
      </c>
      <c r="AO174" s="454"/>
      <c r="AP174" s="454"/>
      <c r="AQ174" s="452"/>
      <c r="AR174" s="452"/>
      <c r="AS174" s="494">
        <v>600</v>
      </c>
      <c r="AT174" s="494">
        <v>594</v>
      </c>
      <c r="AU174" s="495"/>
      <c r="AV174" s="495"/>
      <c r="AW174" s="147"/>
      <c r="AX174" s="119"/>
      <c r="BB174" s="119">
        <v>1</v>
      </c>
      <c r="BC174" s="119">
        <v>6</v>
      </c>
    </row>
    <row r="175" spans="1:55" ht="31.5" x14ac:dyDescent="0.25">
      <c r="A175" s="448" t="s">
        <v>819</v>
      </c>
      <c r="B175" s="449" t="s">
        <v>1014</v>
      </c>
      <c r="C175" s="450" t="s">
        <v>1015</v>
      </c>
      <c r="D175" s="450" t="s">
        <v>45</v>
      </c>
      <c r="E175" s="450" t="s">
        <v>65</v>
      </c>
      <c r="F175" s="450"/>
      <c r="G175" s="452"/>
      <c r="H175" s="452"/>
      <c r="I175" s="492"/>
      <c r="J175" s="492"/>
      <c r="K175" s="492"/>
      <c r="L175" s="492"/>
      <c r="M175" s="492"/>
      <c r="N175" s="492"/>
      <c r="O175" s="492"/>
      <c r="P175" s="492"/>
      <c r="Q175" s="492"/>
      <c r="R175" s="492"/>
      <c r="S175" s="492"/>
      <c r="T175" s="492"/>
      <c r="U175" s="492"/>
      <c r="V175" s="492"/>
      <c r="W175" s="492"/>
      <c r="X175" s="453">
        <v>2000</v>
      </c>
      <c r="Y175" s="453">
        <v>1980</v>
      </c>
      <c r="Z175" s="453"/>
      <c r="AA175" s="453"/>
      <c r="AB175" s="453"/>
      <c r="AC175" s="452"/>
      <c r="AD175" s="452"/>
      <c r="AE175" s="452"/>
      <c r="AF175" s="452"/>
      <c r="AG175" s="452"/>
      <c r="AH175" s="452"/>
      <c r="AI175" s="452"/>
      <c r="AJ175" s="454"/>
      <c r="AK175" s="454">
        <f t="shared" si="34"/>
        <v>0</v>
      </c>
      <c r="AL175" s="454">
        <f t="shared" si="35"/>
        <v>0</v>
      </c>
      <c r="AM175" s="454">
        <v>2000</v>
      </c>
      <c r="AN175" s="454">
        <v>1980</v>
      </c>
      <c r="AO175" s="454"/>
      <c r="AP175" s="454"/>
      <c r="AQ175" s="452"/>
      <c r="AR175" s="452"/>
      <c r="AS175" s="494">
        <v>2000</v>
      </c>
      <c r="AT175" s="494">
        <v>1980</v>
      </c>
      <c r="AU175" s="495"/>
      <c r="AV175" s="495"/>
      <c r="AW175" s="147"/>
      <c r="AX175" s="119"/>
      <c r="BB175" s="119">
        <v>1</v>
      </c>
      <c r="BC175" s="119">
        <v>6</v>
      </c>
    </row>
    <row r="176" spans="1:55" ht="31.5" x14ac:dyDescent="0.25">
      <c r="A176" s="448" t="s">
        <v>821</v>
      </c>
      <c r="B176" s="449" t="s">
        <v>1016</v>
      </c>
      <c r="C176" s="450" t="s">
        <v>1015</v>
      </c>
      <c r="D176" s="450" t="s">
        <v>1017</v>
      </c>
      <c r="E176" s="450" t="s">
        <v>65</v>
      </c>
      <c r="F176" s="450"/>
      <c r="G176" s="452"/>
      <c r="H176" s="452"/>
      <c r="I176" s="492"/>
      <c r="J176" s="492"/>
      <c r="K176" s="492"/>
      <c r="L176" s="492"/>
      <c r="M176" s="492"/>
      <c r="N176" s="492"/>
      <c r="O176" s="492"/>
      <c r="P176" s="492"/>
      <c r="Q176" s="492"/>
      <c r="R176" s="492"/>
      <c r="S176" s="492"/>
      <c r="T176" s="492"/>
      <c r="U176" s="492"/>
      <c r="V176" s="492"/>
      <c r="W176" s="492"/>
      <c r="X176" s="453">
        <v>2000</v>
      </c>
      <c r="Y176" s="453">
        <v>1980</v>
      </c>
      <c r="Z176" s="453"/>
      <c r="AA176" s="453"/>
      <c r="AB176" s="453"/>
      <c r="AC176" s="452"/>
      <c r="AD176" s="452"/>
      <c r="AE176" s="452"/>
      <c r="AF176" s="452"/>
      <c r="AG176" s="452"/>
      <c r="AH176" s="452"/>
      <c r="AI176" s="452"/>
      <c r="AJ176" s="454"/>
      <c r="AK176" s="454">
        <f t="shared" si="34"/>
        <v>0</v>
      </c>
      <c r="AL176" s="454">
        <f t="shared" si="35"/>
        <v>0</v>
      </c>
      <c r="AM176" s="454">
        <v>2000</v>
      </c>
      <c r="AN176" s="454">
        <v>1980</v>
      </c>
      <c r="AO176" s="454"/>
      <c r="AP176" s="454"/>
      <c r="AQ176" s="452"/>
      <c r="AR176" s="452"/>
      <c r="AS176" s="494">
        <v>2000</v>
      </c>
      <c r="AT176" s="494">
        <v>1980</v>
      </c>
      <c r="AU176" s="495"/>
      <c r="AV176" s="495"/>
      <c r="AW176" s="147"/>
      <c r="AX176" s="119"/>
      <c r="BB176" s="119">
        <v>1</v>
      </c>
      <c r="BC176" s="119">
        <v>6</v>
      </c>
    </row>
    <row r="177" spans="1:55" ht="31.5" x14ac:dyDescent="0.25">
      <c r="A177" s="448" t="s">
        <v>823</v>
      </c>
      <c r="B177" s="449" t="s">
        <v>1018</v>
      </c>
      <c r="C177" s="450" t="s">
        <v>1015</v>
      </c>
      <c r="D177" s="450" t="s">
        <v>986</v>
      </c>
      <c r="E177" s="450" t="s">
        <v>65</v>
      </c>
      <c r="F177" s="450"/>
      <c r="G177" s="452"/>
      <c r="H177" s="452"/>
      <c r="I177" s="492"/>
      <c r="J177" s="492"/>
      <c r="K177" s="492"/>
      <c r="L177" s="492"/>
      <c r="M177" s="492"/>
      <c r="N177" s="492"/>
      <c r="O177" s="492"/>
      <c r="P177" s="492"/>
      <c r="Q177" s="492"/>
      <c r="R177" s="492"/>
      <c r="S177" s="492"/>
      <c r="T177" s="492"/>
      <c r="U177" s="492"/>
      <c r="V177" s="492"/>
      <c r="W177" s="492"/>
      <c r="X177" s="453">
        <v>600</v>
      </c>
      <c r="Y177" s="453">
        <v>594</v>
      </c>
      <c r="Z177" s="453"/>
      <c r="AA177" s="453"/>
      <c r="AB177" s="453"/>
      <c r="AC177" s="452"/>
      <c r="AD177" s="452"/>
      <c r="AE177" s="452"/>
      <c r="AF177" s="452"/>
      <c r="AG177" s="452"/>
      <c r="AH177" s="452"/>
      <c r="AI177" s="452"/>
      <c r="AJ177" s="454"/>
      <c r="AK177" s="454">
        <f t="shared" si="34"/>
        <v>0</v>
      </c>
      <c r="AL177" s="454">
        <f t="shared" si="35"/>
        <v>0</v>
      </c>
      <c r="AM177" s="454">
        <v>600</v>
      </c>
      <c r="AN177" s="454">
        <v>594</v>
      </c>
      <c r="AO177" s="454"/>
      <c r="AP177" s="454"/>
      <c r="AQ177" s="452"/>
      <c r="AR177" s="452"/>
      <c r="AS177" s="494">
        <v>600</v>
      </c>
      <c r="AT177" s="494">
        <v>594</v>
      </c>
      <c r="AU177" s="495"/>
      <c r="AV177" s="495"/>
      <c r="AW177" s="10"/>
      <c r="AX177" s="119"/>
      <c r="BB177" s="119">
        <v>1</v>
      </c>
      <c r="BC177" s="119">
        <v>6</v>
      </c>
    </row>
    <row r="178" spans="1:55" ht="31.5" x14ac:dyDescent="0.25">
      <c r="A178" s="448" t="s">
        <v>825</v>
      </c>
      <c r="B178" s="449" t="s">
        <v>1019</v>
      </c>
      <c r="C178" s="450" t="s">
        <v>1015</v>
      </c>
      <c r="D178" s="450" t="s">
        <v>986</v>
      </c>
      <c r="E178" s="450" t="s">
        <v>65</v>
      </c>
      <c r="F178" s="450"/>
      <c r="G178" s="452"/>
      <c r="H178" s="452"/>
      <c r="I178" s="492"/>
      <c r="J178" s="492"/>
      <c r="K178" s="492"/>
      <c r="L178" s="492"/>
      <c r="M178" s="492"/>
      <c r="N178" s="492"/>
      <c r="O178" s="492"/>
      <c r="P178" s="492"/>
      <c r="Q178" s="492"/>
      <c r="R178" s="492"/>
      <c r="S178" s="492"/>
      <c r="T178" s="492"/>
      <c r="U178" s="492"/>
      <c r="V178" s="492"/>
      <c r="W178" s="492"/>
      <c r="X178" s="453">
        <v>600</v>
      </c>
      <c r="Y178" s="453">
        <v>594</v>
      </c>
      <c r="Z178" s="453"/>
      <c r="AA178" s="453"/>
      <c r="AB178" s="453"/>
      <c r="AC178" s="452"/>
      <c r="AD178" s="452"/>
      <c r="AE178" s="452"/>
      <c r="AF178" s="452"/>
      <c r="AG178" s="452"/>
      <c r="AH178" s="452"/>
      <c r="AI178" s="452"/>
      <c r="AJ178" s="454"/>
      <c r="AK178" s="454">
        <f t="shared" si="34"/>
        <v>0</v>
      </c>
      <c r="AL178" s="454">
        <f t="shared" si="35"/>
        <v>0</v>
      </c>
      <c r="AM178" s="454">
        <v>600</v>
      </c>
      <c r="AN178" s="454">
        <v>594</v>
      </c>
      <c r="AO178" s="454"/>
      <c r="AP178" s="454"/>
      <c r="AQ178" s="452"/>
      <c r="AR178" s="452"/>
      <c r="AS178" s="494">
        <v>600</v>
      </c>
      <c r="AT178" s="494">
        <v>594</v>
      </c>
      <c r="AU178" s="495"/>
      <c r="AV178" s="495"/>
      <c r="AW178" s="147"/>
      <c r="AX178" s="119"/>
      <c r="BB178" s="119">
        <v>1</v>
      </c>
      <c r="BC178" s="119">
        <v>6</v>
      </c>
    </row>
    <row r="179" spans="1:55" ht="47.25" x14ac:dyDescent="0.25">
      <c r="A179" s="448" t="s">
        <v>827</v>
      </c>
      <c r="B179" s="449" t="s">
        <v>1020</v>
      </c>
      <c r="C179" s="450" t="s">
        <v>1015</v>
      </c>
      <c r="D179" s="450" t="s">
        <v>1021</v>
      </c>
      <c r="E179" s="450" t="s">
        <v>65</v>
      </c>
      <c r="F179" s="450"/>
      <c r="G179" s="452"/>
      <c r="H179" s="452"/>
      <c r="I179" s="492"/>
      <c r="J179" s="492"/>
      <c r="K179" s="492"/>
      <c r="L179" s="492"/>
      <c r="M179" s="492"/>
      <c r="N179" s="492"/>
      <c r="O179" s="492"/>
      <c r="P179" s="492"/>
      <c r="Q179" s="492"/>
      <c r="R179" s="492"/>
      <c r="S179" s="492"/>
      <c r="T179" s="492"/>
      <c r="U179" s="492"/>
      <c r="V179" s="492"/>
      <c r="W179" s="492"/>
      <c r="X179" s="453">
        <v>600</v>
      </c>
      <c r="Y179" s="453">
        <v>594</v>
      </c>
      <c r="Z179" s="453"/>
      <c r="AA179" s="453"/>
      <c r="AB179" s="453"/>
      <c r="AC179" s="452"/>
      <c r="AD179" s="452"/>
      <c r="AE179" s="452"/>
      <c r="AF179" s="452"/>
      <c r="AG179" s="452"/>
      <c r="AH179" s="452"/>
      <c r="AI179" s="452"/>
      <c r="AJ179" s="454"/>
      <c r="AK179" s="454">
        <f t="shared" si="34"/>
        <v>0</v>
      </c>
      <c r="AL179" s="454">
        <f t="shared" si="35"/>
        <v>0</v>
      </c>
      <c r="AM179" s="454">
        <v>600</v>
      </c>
      <c r="AN179" s="454">
        <v>594</v>
      </c>
      <c r="AO179" s="454"/>
      <c r="AP179" s="454"/>
      <c r="AQ179" s="452"/>
      <c r="AR179" s="452"/>
      <c r="AS179" s="494">
        <v>600</v>
      </c>
      <c r="AT179" s="494">
        <v>594</v>
      </c>
      <c r="AU179" s="495"/>
      <c r="AV179" s="495"/>
      <c r="AW179" s="147"/>
      <c r="AX179" s="119"/>
      <c r="BB179" s="119">
        <v>1</v>
      </c>
      <c r="BC179" s="119">
        <v>6</v>
      </c>
    </row>
    <row r="180" spans="1:55" ht="47.25" x14ac:dyDescent="0.25">
      <c r="A180" s="448" t="s">
        <v>829</v>
      </c>
      <c r="B180" s="449" t="s">
        <v>1022</v>
      </c>
      <c r="C180" s="450" t="s">
        <v>71</v>
      </c>
      <c r="D180" s="450" t="s">
        <v>72</v>
      </c>
      <c r="E180" s="450" t="s">
        <v>70</v>
      </c>
      <c r="F180" s="450" t="s">
        <v>1023</v>
      </c>
      <c r="G180" s="452">
        <v>2000</v>
      </c>
      <c r="H180" s="452">
        <v>1680</v>
      </c>
      <c r="I180" s="492"/>
      <c r="J180" s="492"/>
      <c r="K180" s="492"/>
      <c r="L180" s="492"/>
      <c r="M180" s="492"/>
      <c r="N180" s="492"/>
      <c r="O180" s="492"/>
      <c r="P180" s="492"/>
      <c r="Q180" s="492"/>
      <c r="R180" s="492"/>
      <c r="S180" s="492"/>
      <c r="T180" s="492"/>
      <c r="U180" s="492"/>
      <c r="V180" s="492"/>
      <c r="W180" s="492"/>
      <c r="X180" s="453">
        <v>2000</v>
      </c>
      <c r="Y180" s="453">
        <v>1680</v>
      </c>
      <c r="Z180" s="453"/>
      <c r="AA180" s="453"/>
      <c r="AB180" s="453"/>
      <c r="AC180" s="452"/>
      <c r="AD180" s="452">
        <v>500</v>
      </c>
      <c r="AE180" s="452"/>
      <c r="AF180" s="452"/>
      <c r="AG180" s="452"/>
      <c r="AH180" s="452">
        <v>1200</v>
      </c>
      <c r="AI180" s="452">
        <v>1200</v>
      </c>
      <c r="AJ180" s="454"/>
      <c r="AK180" s="454">
        <f t="shared" si="34"/>
        <v>0</v>
      </c>
      <c r="AL180" s="454">
        <f t="shared" si="35"/>
        <v>0</v>
      </c>
      <c r="AM180" s="454">
        <v>2000</v>
      </c>
      <c r="AN180" s="454">
        <v>1680</v>
      </c>
      <c r="AO180" s="454"/>
      <c r="AP180" s="454"/>
      <c r="AQ180" s="452"/>
      <c r="AR180" s="452"/>
      <c r="AS180" s="494">
        <v>2000</v>
      </c>
      <c r="AT180" s="494">
        <v>1680</v>
      </c>
      <c r="AU180" s="495"/>
      <c r="AV180" s="495"/>
      <c r="AW180" s="147"/>
      <c r="AX180" s="119"/>
      <c r="BB180" s="119">
        <v>1</v>
      </c>
      <c r="BC180" s="119">
        <v>6</v>
      </c>
    </row>
    <row r="181" spans="1:55" ht="47.25" x14ac:dyDescent="0.25">
      <c r="A181" s="448" t="s">
        <v>831</v>
      </c>
      <c r="B181" s="449" t="s">
        <v>1024</v>
      </c>
      <c r="C181" s="450" t="s">
        <v>73</v>
      </c>
      <c r="D181" s="450" t="s">
        <v>45</v>
      </c>
      <c r="E181" s="450" t="s">
        <v>70</v>
      </c>
      <c r="F181" s="450" t="s">
        <v>1025</v>
      </c>
      <c r="G181" s="452">
        <v>2000</v>
      </c>
      <c r="H181" s="452">
        <v>1680</v>
      </c>
      <c r="I181" s="492"/>
      <c r="J181" s="492"/>
      <c r="K181" s="492"/>
      <c r="L181" s="492"/>
      <c r="M181" s="492"/>
      <c r="N181" s="492"/>
      <c r="O181" s="492"/>
      <c r="P181" s="492"/>
      <c r="Q181" s="492"/>
      <c r="R181" s="492"/>
      <c r="S181" s="492"/>
      <c r="T181" s="492"/>
      <c r="U181" s="492"/>
      <c r="V181" s="492"/>
      <c r="W181" s="492"/>
      <c r="X181" s="453">
        <v>2000</v>
      </c>
      <c r="Y181" s="453">
        <v>1680</v>
      </c>
      <c r="Z181" s="453"/>
      <c r="AA181" s="453"/>
      <c r="AB181" s="453"/>
      <c r="AC181" s="452"/>
      <c r="AD181" s="452">
        <v>500</v>
      </c>
      <c r="AE181" s="452"/>
      <c r="AF181" s="452"/>
      <c r="AG181" s="452"/>
      <c r="AH181" s="452">
        <v>1200</v>
      </c>
      <c r="AI181" s="452">
        <v>1200</v>
      </c>
      <c r="AJ181" s="454"/>
      <c r="AK181" s="454">
        <f t="shared" si="34"/>
        <v>0</v>
      </c>
      <c r="AL181" s="454">
        <f t="shared" si="35"/>
        <v>0</v>
      </c>
      <c r="AM181" s="454">
        <v>2000</v>
      </c>
      <c r="AN181" s="454">
        <v>1680</v>
      </c>
      <c r="AO181" s="454"/>
      <c r="AP181" s="454"/>
      <c r="AQ181" s="452"/>
      <c r="AR181" s="452"/>
      <c r="AS181" s="494">
        <v>2000</v>
      </c>
      <c r="AT181" s="494">
        <v>1680</v>
      </c>
      <c r="AU181" s="495"/>
      <c r="AV181" s="495"/>
      <c r="AW181" s="147"/>
      <c r="AX181" s="119"/>
      <c r="BB181" s="119">
        <v>1</v>
      </c>
      <c r="BC181" s="119">
        <v>6</v>
      </c>
    </row>
    <row r="182" spans="1:55" ht="31.5" x14ac:dyDescent="0.25">
      <c r="A182" s="448" t="s">
        <v>833</v>
      </c>
      <c r="B182" s="449" t="s">
        <v>1026</v>
      </c>
      <c r="C182" s="450" t="s">
        <v>73</v>
      </c>
      <c r="D182" s="450" t="s">
        <v>980</v>
      </c>
      <c r="E182" s="450">
        <v>2017</v>
      </c>
      <c r="F182" s="450"/>
      <c r="G182" s="452"/>
      <c r="H182" s="452"/>
      <c r="I182" s="492"/>
      <c r="J182" s="492"/>
      <c r="K182" s="492"/>
      <c r="L182" s="492"/>
      <c r="M182" s="492"/>
      <c r="N182" s="492"/>
      <c r="O182" s="492"/>
      <c r="P182" s="492"/>
      <c r="Q182" s="492"/>
      <c r="R182" s="492"/>
      <c r="S182" s="492"/>
      <c r="T182" s="492"/>
      <c r="U182" s="492"/>
      <c r="V182" s="492"/>
      <c r="W182" s="492"/>
      <c r="X182" s="453">
        <v>2000</v>
      </c>
      <c r="Y182" s="453">
        <v>1740</v>
      </c>
      <c r="Z182" s="453"/>
      <c r="AA182" s="453"/>
      <c r="AB182" s="453"/>
      <c r="AC182" s="452"/>
      <c r="AD182" s="452"/>
      <c r="AE182" s="452"/>
      <c r="AF182" s="452"/>
      <c r="AG182" s="452"/>
      <c r="AH182" s="452">
        <v>660</v>
      </c>
      <c r="AI182" s="452">
        <v>660</v>
      </c>
      <c r="AJ182" s="454"/>
      <c r="AK182" s="454">
        <f t="shared" si="34"/>
        <v>0</v>
      </c>
      <c r="AL182" s="454">
        <f t="shared" si="35"/>
        <v>0</v>
      </c>
      <c r="AM182" s="454">
        <v>2000</v>
      </c>
      <c r="AN182" s="454">
        <v>1740</v>
      </c>
      <c r="AO182" s="454"/>
      <c r="AP182" s="454"/>
      <c r="AQ182" s="452"/>
      <c r="AR182" s="452"/>
      <c r="AS182" s="494">
        <v>2000</v>
      </c>
      <c r="AT182" s="494">
        <v>1740</v>
      </c>
      <c r="AU182" s="495"/>
      <c r="AV182" s="495"/>
      <c r="AW182" s="147"/>
      <c r="AX182" s="119"/>
      <c r="BB182" s="119">
        <v>1</v>
      </c>
      <c r="BC182" s="119">
        <v>6</v>
      </c>
    </row>
    <row r="183" spans="1:55" ht="31.5" x14ac:dyDescent="0.25">
      <c r="A183" s="448" t="s">
        <v>835</v>
      </c>
      <c r="B183" s="449" t="s">
        <v>1027</v>
      </c>
      <c r="C183" s="450" t="s">
        <v>73</v>
      </c>
      <c r="D183" s="450" t="s">
        <v>986</v>
      </c>
      <c r="E183" s="450" t="s">
        <v>65</v>
      </c>
      <c r="F183" s="450"/>
      <c r="G183" s="452"/>
      <c r="H183" s="452"/>
      <c r="I183" s="492"/>
      <c r="J183" s="492"/>
      <c r="K183" s="492"/>
      <c r="L183" s="492"/>
      <c r="M183" s="492"/>
      <c r="N183" s="492"/>
      <c r="O183" s="492"/>
      <c r="P183" s="492"/>
      <c r="Q183" s="492"/>
      <c r="R183" s="492"/>
      <c r="S183" s="492"/>
      <c r="T183" s="492"/>
      <c r="U183" s="492"/>
      <c r="V183" s="492"/>
      <c r="W183" s="492"/>
      <c r="X183" s="453">
        <v>600</v>
      </c>
      <c r="Y183" s="453">
        <v>594</v>
      </c>
      <c r="Z183" s="453"/>
      <c r="AA183" s="453"/>
      <c r="AB183" s="453"/>
      <c r="AC183" s="452"/>
      <c r="AD183" s="452"/>
      <c r="AE183" s="452"/>
      <c r="AF183" s="452"/>
      <c r="AG183" s="452"/>
      <c r="AH183" s="452"/>
      <c r="AI183" s="452"/>
      <c r="AJ183" s="454"/>
      <c r="AK183" s="454">
        <f t="shared" si="34"/>
        <v>0</v>
      </c>
      <c r="AL183" s="454">
        <f t="shared" si="35"/>
        <v>0</v>
      </c>
      <c r="AM183" s="454">
        <v>600</v>
      </c>
      <c r="AN183" s="454">
        <v>594</v>
      </c>
      <c r="AO183" s="454"/>
      <c r="AP183" s="454"/>
      <c r="AQ183" s="452"/>
      <c r="AR183" s="452"/>
      <c r="AS183" s="494">
        <v>600</v>
      </c>
      <c r="AT183" s="494">
        <v>594</v>
      </c>
      <c r="AU183" s="495"/>
      <c r="AV183" s="495"/>
      <c r="AW183" s="147"/>
      <c r="AX183" s="119"/>
      <c r="BB183" s="119">
        <v>1</v>
      </c>
      <c r="BC183" s="119">
        <v>6</v>
      </c>
    </row>
    <row r="184" spans="1:55" ht="31.5" x14ac:dyDescent="0.25">
      <c r="A184" s="448" t="s">
        <v>837</v>
      </c>
      <c r="B184" s="449" t="s">
        <v>1028</v>
      </c>
      <c r="C184" s="450" t="s">
        <v>73</v>
      </c>
      <c r="D184" s="450" t="s">
        <v>1029</v>
      </c>
      <c r="E184" s="450" t="s">
        <v>65</v>
      </c>
      <c r="F184" s="450"/>
      <c r="G184" s="452"/>
      <c r="H184" s="452"/>
      <c r="I184" s="492"/>
      <c r="J184" s="492"/>
      <c r="K184" s="492"/>
      <c r="L184" s="492"/>
      <c r="M184" s="492"/>
      <c r="N184" s="492"/>
      <c r="O184" s="492"/>
      <c r="P184" s="492"/>
      <c r="Q184" s="492"/>
      <c r="R184" s="492"/>
      <c r="S184" s="492"/>
      <c r="T184" s="492"/>
      <c r="U184" s="492"/>
      <c r="V184" s="492"/>
      <c r="W184" s="492"/>
      <c r="X184" s="453">
        <v>600</v>
      </c>
      <c r="Y184" s="453">
        <v>594</v>
      </c>
      <c r="Z184" s="453"/>
      <c r="AA184" s="453"/>
      <c r="AB184" s="453"/>
      <c r="AC184" s="452"/>
      <c r="AD184" s="452"/>
      <c r="AE184" s="452"/>
      <c r="AF184" s="452"/>
      <c r="AG184" s="452"/>
      <c r="AH184" s="452"/>
      <c r="AI184" s="452"/>
      <c r="AJ184" s="454"/>
      <c r="AK184" s="454">
        <f t="shared" si="34"/>
        <v>0</v>
      </c>
      <c r="AL184" s="454">
        <f t="shared" si="35"/>
        <v>0</v>
      </c>
      <c r="AM184" s="454">
        <v>600</v>
      </c>
      <c r="AN184" s="454">
        <v>594</v>
      </c>
      <c r="AO184" s="454"/>
      <c r="AP184" s="454"/>
      <c r="AQ184" s="452"/>
      <c r="AR184" s="452"/>
      <c r="AS184" s="494">
        <v>600</v>
      </c>
      <c r="AT184" s="494">
        <v>594</v>
      </c>
      <c r="AU184" s="495"/>
      <c r="AV184" s="495"/>
      <c r="AW184" s="147"/>
      <c r="AX184" s="119"/>
      <c r="BB184" s="119">
        <v>1</v>
      </c>
      <c r="BC184" s="119">
        <v>6</v>
      </c>
    </row>
    <row r="185" spans="1:55" ht="31.5" x14ac:dyDescent="0.25">
      <c r="A185" s="448" t="s">
        <v>839</v>
      </c>
      <c r="B185" s="449" t="s">
        <v>1030</v>
      </c>
      <c r="C185" s="450" t="s">
        <v>73</v>
      </c>
      <c r="D185" s="450" t="s">
        <v>880</v>
      </c>
      <c r="E185" s="450" t="s">
        <v>65</v>
      </c>
      <c r="F185" s="450"/>
      <c r="G185" s="452"/>
      <c r="H185" s="452"/>
      <c r="I185" s="492"/>
      <c r="J185" s="492"/>
      <c r="K185" s="492"/>
      <c r="L185" s="492"/>
      <c r="M185" s="492"/>
      <c r="N185" s="492"/>
      <c r="O185" s="492"/>
      <c r="P185" s="492"/>
      <c r="Q185" s="492"/>
      <c r="R185" s="492"/>
      <c r="S185" s="492"/>
      <c r="T185" s="492"/>
      <c r="U185" s="492"/>
      <c r="V185" s="492"/>
      <c r="W185" s="492"/>
      <c r="X185" s="453">
        <v>1090</v>
      </c>
      <c r="Y185" s="453">
        <v>1080</v>
      </c>
      <c r="Z185" s="453"/>
      <c r="AA185" s="453"/>
      <c r="AB185" s="453"/>
      <c r="AC185" s="452"/>
      <c r="AD185" s="452"/>
      <c r="AE185" s="452"/>
      <c r="AF185" s="452"/>
      <c r="AG185" s="452"/>
      <c r="AH185" s="452"/>
      <c r="AI185" s="452"/>
      <c r="AJ185" s="454"/>
      <c r="AK185" s="454">
        <f t="shared" si="34"/>
        <v>0</v>
      </c>
      <c r="AL185" s="454">
        <f t="shared" si="35"/>
        <v>0</v>
      </c>
      <c r="AM185" s="454">
        <v>1090</v>
      </c>
      <c r="AN185" s="454">
        <v>1080</v>
      </c>
      <c r="AO185" s="454"/>
      <c r="AP185" s="454"/>
      <c r="AQ185" s="452"/>
      <c r="AR185" s="452"/>
      <c r="AS185" s="494">
        <v>1090</v>
      </c>
      <c r="AT185" s="494">
        <v>1080</v>
      </c>
      <c r="AU185" s="495"/>
      <c r="AV185" s="495"/>
      <c r="AW185" s="147"/>
      <c r="AX185" s="119"/>
      <c r="BB185" s="119">
        <v>1</v>
      </c>
      <c r="BC185" s="119">
        <v>6</v>
      </c>
    </row>
    <row r="186" spans="1:55" ht="47.25" x14ac:dyDescent="0.25">
      <c r="A186" s="448" t="s">
        <v>841</v>
      </c>
      <c r="B186" s="449" t="s">
        <v>1031</v>
      </c>
      <c r="C186" s="450" t="s">
        <v>74</v>
      </c>
      <c r="D186" s="450" t="s">
        <v>980</v>
      </c>
      <c r="E186" s="450" t="s">
        <v>70</v>
      </c>
      <c r="F186" s="450" t="s">
        <v>1032</v>
      </c>
      <c r="G186" s="452">
        <v>2000</v>
      </c>
      <c r="H186" s="452">
        <v>1700</v>
      </c>
      <c r="I186" s="492"/>
      <c r="J186" s="492"/>
      <c r="K186" s="492"/>
      <c r="L186" s="492"/>
      <c r="M186" s="492"/>
      <c r="N186" s="492"/>
      <c r="O186" s="492"/>
      <c r="P186" s="492"/>
      <c r="Q186" s="492"/>
      <c r="R186" s="492"/>
      <c r="S186" s="492"/>
      <c r="T186" s="492"/>
      <c r="U186" s="492"/>
      <c r="V186" s="492"/>
      <c r="W186" s="492"/>
      <c r="X186" s="453">
        <v>2000</v>
      </c>
      <c r="Y186" s="453">
        <v>1700</v>
      </c>
      <c r="Z186" s="453"/>
      <c r="AA186" s="453"/>
      <c r="AB186" s="453"/>
      <c r="AC186" s="452"/>
      <c r="AD186" s="452">
        <v>500</v>
      </c>
      <c r="AE186" s="452"/>
      <c r="AF186" s="452"/>
      <c r="AG186" s="452"/>
      <c r="AH186" s="452">
        <v>1200</v>
      </c>
      <c r="AI186" s="452">
        <v>1200</v>
      </c>
      <c r="AJ186" s="454"/>
      <c r="AK186" s="454">
        <f t="shared" si="34"/>
        <v>0</v>
      </c>
      <c r="AL186" s="454">
        <f t="shared" si="35"/>
        <v>0</v>
      </c>
      <c r="AM186" s="454">
        <v>2000</v>
      </c>
      <c r="AN186" s="454">
        <v>1700</v>
      </c>
      <c r="AO186" s="454"/>
      <c r="AP186" s="454"/>
      <c r="AQ186" s="452"/>
      <c r="AR186" s="452"/>
      <c r="AS186" s="494">
        <v>2000</v>
      </c>
      <c r="AT186" s="494">
        <v>1700</v>
      </c>
      <c r="AU186" s="495"/>
      <c r="AV186" s="495"/>
      <c r="AW186" s="147"/>
      <c r="AX186" s="119"/>
      <c r="BB186" s="119">
        <v>1</v>
      </c>
      <c r="BC186" s="119">
        <v>6</v>
      </c>
    </row>
    <row r="187" spans="1:55" ht="47.25" x14ac:dyDescent="0.25">
      <c r="A187" s="448" t="s">
        <v>843</v>
      </c>
      <c r="B187" s="449" t="s">
        <v>1033</v>
      </c>
      <c r="C187" s="450" t="s">
        <v>74</v>
      </c>
      <c r="D187" s="450" t="s">
        <v>1034</v>
      </c>
      <c r="E187" s="450" t="s">
        <v>65</v>
      </c>
      <c r="F187" s="450"/>
      <c r="G187" s="452"/>
      <c r="H187" s="452"/>
      <c r="I187" s="492"/>
      <c r="J187" s="492"/>
      <c r="K187" s="492"/>
      <c r="L187" s="492"/>
      <c r="M187" s="492"/>
      <c r="N187" s="492"/>
      <c r="O187" s="492"/>
      <c r="P187" s="492"/>
      <c r="Q187" s="492"/>
      <c r="R187" s="492"/>
      <c r="S187" s="492"/>
      <c r="T187" s="492"/>
      <c r="U187" s="492"/>
      <c r="V187" s="492"/>
      <c r="W187" s="492"/>
      <c r="X187" s="453">
        <v>5600</v>
      </c>
      <c r="Y187" s="453">
        <v>5590</v>
      </c>
      <c r="Z187" s="453"/>
      <c r="AA187" s="453"/>
      <c r="AB187" s="453"/>
      <c r="AC187" s="452"/>
      <c r="AD187" s="452"/>
      <c r="AE187" s="452"/>
      <c r="AF187" s="452"/>
      <c r="AG187" s="452"/>
      <c r="AH187" s="452"/>
      <c r="AI187" s="452"/>
      <c r="AJ187" s="454"/>
      <c r="AK187" s="454">
        <f t="shared" si="34"/>
        <v>0</v>
      </c>
      <c r="AL187" s="454">
        <f t="shared" si="35"/>
        <v>0</v>
      </c>
      <c r="AM187" s="454">
        <v>5600</v>
      </c>
      <c r="AN187" s="454">
        <v>5590</v>
      </c>
      <c r="AO187" s="454"/>
      <c r="AP187" s="454"/>
      <c r="AQ187" s="452"/>
      <c r="AR187" s="452"/>
      <c r="AS187" s="494">
        <v>5600</v>
      </c>
      <c r="AT187" s="494">
        <v>5590</v>
      </c>
      <c r="AU187" s="495"/>
      <c r="AV187" s="495"/>
      <c r="AW187" s="147"/>
      <c r="AX187" s="119"/>
      <c r="BB187" s="119">
        <v>1</v>
      </c>
      <c r="BC187" s="119">
        <v>6</v>
      </c>
    </row>
    <row r="188" spans="1:55" ht="31.5" x14ac:dyDescent="0.25">
      <c r="A188" s="448" t="s">
        <v>845</v>
      </c>
      <c r="B188" s="449" t="s">
        <v>1035</v>
      </c>
      <c r="C188" s="450" t="s">
        <v>75</v>
      </c>
      <c r="D188" s="450" t="s">
        <v>1036</v>
      </c>
      <c r="E188" s="450" t="s">
        <v>55</v>
      </c>
      <c r="F188" s="450"/>
      <c r="G188" s="452"/>
      <c r="H188" s="452"/>
      <c r="I188" s="492"/>
      <c r="J188" s="492"/>
      <c r="K188" s="492"/>
      <c r="L188" s="492"/>
      <c r="M188" s="492"/>
      <c r="N188" s="492"/>
      <c r="O188" s="492"/>
      <c r="P188" s="492"/>
      <c r="Q188" s="492"/>
      <c r="R188" s="492"/>
      <c r="S188" s="492"/>
      <c r="T188" s="492"/>
      <c r="U188" s="492"/>
      <c r="V188" s="492"/>
      <c r="W188" s="492"/>
      <c r="X188" s="453">
        <v>2000</v>
      </c>
      <c r="Y188" s="453">
        <v>1740</v>
      </c>
      <c r="Z188" s="453"/>
      <c r="AA188" s="453"/>
      <c r="AB188" s="453"/>
      <c r="AC188" s="452"/>
      <c r="AD188" s="452"/>
      <c r="AE188" s="452"/>
      <c r="AF188" s="452"/>
      <c r="AG188" s="452"/>
      <c r="AH188" s="452">
        <v>660</v>
      </c>
      <c r="AI188" s="452">
        <v>660</v>
      </c>
      <c r="AJ188" s="454"/>
      <c r="AK188" s="454">
        <f t="shared" si="34"/>
        <v>0</v>
      </c>
      <c r="AL188" s="454">
        <f t="shared" si="35"/>
        <v>0</v>
      </c>
      <c r="AM188" s="454">
        <v>2000</v>
      </c>
      <c r="AN188" s="454">
        <v>1740</v>
      </c>
      <c r="AO188" s="454"/>
      <c r="AP188" s="454"/>
      <c r="AQ188" s="452"/>
      <c r="AR188" s="452"/>
      <c r="AS188" s="494">
        <v>2000</v>
      </c>
      <c r="AT188" s="494">
        <v>1740</v>
      </c>
      <c r="AU188" s="495"/>
      <c r="AV188" s="495"/>
      <c r="AW188" s="147"/>
      <c r="AX188" s="119"/>
      <c r="BB188" s="119">
        <v>1</v>
      </c>
      <c r="BC188" s="119">
        <v>6</v>
      </c>
    </row>
    <row r="189" spans="1:55" ht="31.5" x14ac:dyDescent="0.25">
      <c r="A189" s="448" t="s">
        <v>847</v>
      </c>
      <c r="B189" s="449" t="s">
        <v>1037</v>
      </c>
      <c r="C189" s="450" t="s">
        <v>75</v>
      </c>
      <c r="D189" s="450" t="s">
        <v>45</v>
      </c>
      <c r="E189" s="450" t="s">
        <v>65</v>
      </c>
      <c r="F189" s="450"/>
      <c r="G189" s="452"/>
      <c r="H189" s="452"/>
      <c r="I189" s="492"/>
      <c r="J189" s="492"/>
      <c r="K189" s="492"/>
      <c r="L189" s="492"/>
      <c r="M189" s="492"/>
      <c r="N189" s="492"/>
      <c r="O189" s="492"/>
      <c r="P189" s="492"/>
      <c r="Q189" s="492"/>
      <c r="R189" s="492"/>
      <c r="S189" s="492"/>
      <c r="T189" s="492"/>
      <c r="U189" s="492"/>
      <c r="V189" s="492"/>
      <c r="W189" s="492"/>
      <c r="X189" s="453">
        <v>6600</v>
      </c>
      <c r="Y189" s="453">
        <v>6590</v>
      </c>
      <c r="Z189" s="453"/>
      <c r="AA189" s="453"/>
      <c r="AB189" s="453"/>
      <c r="AC189" s="452"/>
      <c r="AD189" s="452"/>
      <c r="AE189" s="452"/>
      <c r="AF189" s="452"/>
      <c r="AG189" s="452"/>
      <c r="AH189" s="452"/>
      <c r="AI189" s="452"/>
      <c r="AJ189" s="454"/>
      <c r="AK189" s="454">
        <f t="shared" si="34"/>
        <v>0</v>
      </c>
      <c r="AL189" s="454">
        <f t="shared" si="35"/>
        <v>0</v>
      </c>
      <c r="AM189" s="454">
        <v>6600</v>
      </c>
      <c r="AN189" s="454">
        <v>6590</v>
      </c>
      <c r="AO189" s="454"/>
      <c r="AP189" s="454"/>
      <c r="AQ189" s="452"/>
      <c r="AR189" s="452"/>
      <c r="AS189" s="494">
        <v>6600</v>
      </c>
      <c r="AT189" s="494">
        <v>6590</v>
      </c>
      <c r="AU189" s="495"/>
      <c r="AV189" s="495"/>
      <c r="AW189" s="147"/>
      <c r="AX189" s="119"/>
      <c r="BB189" s="119">
        <v>1</v>
      </c>
      <c r="BC189" s="119">
        <v>6</v>
      </c>
    </row>
    <row r="190" spans="1:55" ht="31.5" x14ac:dyDescent="0.25">
      <c r="A190" s="448" t="s">
        <v>849</v>
      </c>
      <c r="B190" s="449" t="s">
        <v>1038</v>
      </c>
      <c r="C190" s="450" t="s">
        <v>76</v>
      </c>
      <c r="D190" s="450" t="s">
        <v>45</v>
      </c>
      <c r="E190" s="450" t="s">
        <v>65</v>
      </c>
      <c r="F190" s="450"/>
      <c r="G190" s="452"/>
      <c r="H190" s="452"/>
      <c r="I190" s="492"/>
      <c r="J190" s="492"/>
      <c r="K190" s="492"/>
      <c r="L190" s="492"/>
      <c r="M190" s="492"/>
      <c r="N190" s="492"/>
      <c r="O190" s="492"/>
      <c r="P190" s="492"/>
      <c r="Q190" s="492"/>
      <c r="R190" s="492"/>
      <c r="S190" s="492"/>
      <c r="T190" s="492"/>
      <c r="U190" s="492"/>
      <c r="V190" s="492"/>
      <c r="W190" s="492"/>
      <c r="X190" s="453">
        <v>1585</v>
      </c>
      <c r="Y190" s="453">
        <v>1569</v>
      </c>
      <c r="Z190" s="453"/>
      <c r="AA190" s="453"/>
      <c r="AB190" s="453"/>
      <c r="AC190" s="452"/>
      <c r="AD190" s="452"/>
      <c r="AE190" s="452"/>
      <c r="AF190" s="452"/>
      <c r="AG190" s="452"/>
      <c r="AH190" s="452"/>
      <c r="AI190" s="452"/>
      <c r="AJ190" s="454"/>
      <c r="AK190" s="454">
        <f t="shared" si="34"/>
        <v>0</v>
      </c>
      <c r="AL190" s="454">
        <f t="shared" si="35"/>
        <v>0</v>
      </c>
      <c r="AM190" s="454">
        <v>1585</v>
      </c>
      <c r="AN190" s="454">
        <v>1569</v>
      </c>
      <c r="AO190" s="454"/>
      <c r="AP190" s="454"/>
      <c r="AQ190" s="452"/>
      <c r="AR190" s="452"/>
      <c r="AS190" s="494">
        <v>1585</v>
      </c>
      <c r="AT190" s="494">
        <v>1569</v>
      </c>
      <c r="AU190" s="495"/>
      <c r="AV190" s="495"/>
      <c r="AW190" s="147"/>
      <c r="AX190" s="119"/>
      <c r="BB190" s="119">
        <v>1</v>
      </c>
      <c r="BC190" s="119">
        <v>6</v>
      </c>
    </row>
    <row r="191" spans="1:55" ht="47.25" x14ac:dyDescent="0.25">
      <c r="A191" s="448" t="s">
        <v>851</v>
      </c>
      <c r="B191" s="449" t="s">
        <v>1039</v>
      </c>
      <c r="C191" s="450" t="s">
        <v>76</v>
      </c>
      <c r="D191" s="450" t="s">
        <v>1036</v>
      </c>
      <c r="E191" s="450" t="s">
        <v>55</v>
      </c>
      <c r="F191" s="450"/>
      <c r="G191" s="452"/>
      <c r="H191" s="452"/>
      <c r="I191" s="492"/>
      <c r="J191" s="492"/>
      <c r="K191" s="492"/>
      <c r="L191" s="492"/>
      <c r="M191" s="492"/>
      <c r="N191" s="492"/>
      <c r="O191" s="492"/>
      <c r="P191" s="492"/>
      <c r="Q191" s="492"/>
      <c r="R191" s="492"/>
      <c r="S191" s="492"/>
      <c r="T191" s="492"/>
      <c r="U191" s="492"/>
      <c r="V191" s="492"/>
      <c r="W191" s="492"/>
      <c r="X191" s="453">
        <v>2000</v>
      </c>
      <c r="Y191" s="453">
        <v>1740</v>
      </c>
      <c r="Z191" s="453"/>
      <c r="AA191" s="453"/>
      <c r="AB191" s="453"/>
      <c r="AC191" s="452"/>
      <c r="AD191" s="452"/>
      <c r="AE191" s="452"/>
      <c r="AF191" s="452"/>
      <c r="AG191" s="452"/>
      <c r="AH191" s="452">
        <v>660</v>
      </c>
      <c r="AI191" s="452">
        <v>660</v>
      </c>
      <c r="AJ191" s="454"/>
      <c r="AK191" s="454">
        <f t="shared" si="34"/>
        <v>0</v>
      </c>
      <c r="AL191" s="454">
        <f t="shared" si="35"/>
        <v>0</v>
      </c>
      <c r="AM191" s="454">
        <v>2000</v>
      </c>
      <c r="AN191" s="454">
        <v>1740</v>
      </c>
      <c r="AO191" s="454"/>
      <c r="AP191" s="454"/>
      <c r="AQ191" s="452"/>
      <c r="AR191" s="452"/>
      <c r="AS191" s="494">
        <v>2000</v>
      </c>
      <c r="AT191" s="494">
        <v>1740</v>
      </c>
      <c r="AU191" s="495"/>
      <c r="AV191" s="495"/>
      <c r="AW191" s="147"/>
      <c r="AX191" s="119"/>
      <c r="BB191" s="119">
        <v>1</v>
      </c>
      <c r="BC191" s="119">
        <v>6</v>
      </c>
    </row>
    <row r="192" spans="1:55" ht="31.5" x14ac:dyDescent="0.25">
      <c r="A192" s="448" t="s">
        <v>853</v>
      </c>
      <c r="B192" s="449" t="s">
        <v>1040</v>
      </c>
      <c r="C192" s="450" t="s">
        <v>76</v>
      </c>
      <c r="D192" s="450" t="s">
        <v>1041</v>
      </c>
      <c r="E192" s="450" t="s">
        <v>65</v>
      </c>
      <c r="F192" s="450"/>
      <c r="G192" s="452"/>
      <c r="H192" s="452"/>
      <c r="I192" s="492"/>
      <c r="J192" s="492"/>
      <c r="K192" s="492"/>
      <c r="L192" s="492"/>
      <c r="M192" s="492"/>
      <c r="N192" s="492"/>
      <c r="O192" s="492"/>
      <c r="P192" s="492"/>
      <c r="Q192" s="492"/>
      <c r="R192" s="492"/>
      <c r="S192" s="492"/>
      <c r="T192" s="492"/>
      <c r="U192" s="492"/>
      <c r="V192" s="492"/>
      <c r="W192" s="492"/>
      <c r="X192" s="453">
        <v>900</v>
      </c>
      <c r="Y192" s="453">
        <v>891</v>
      </c>
      <c r="Z192" s="453"/>
      <c r="AA192" s="453"/>
      <c r="AB192" s="453"/>
      <c r="AC192" s="452"/>
      <c r="AD192" s="452"/>
      <c r="AE192" s="452"/>
      <c r="AF192" s="452"/>
      <c r="AG192" s="452"/>
      <c r="AH192" s="452"/>
      <c r="AI192" s="452"/>
      <c r="AJ192" s="454"/>
      <c r="AK192" s="454">
        <f t="shared" si="34"/>
        <v>0</v>
      </c>
      <c r="AL192" s="454">
        <f t="shared" si="35"/>
        <v>0</v>
      </c>
      <c r="AM192" s="454">
        <v>900</v>
      </c>
      <c r="AN192" s="454">
        <v>891</v>
      </c>
      <c r="AO192" s="454"/>
      <c r="AP192" s="454"/>
      <c r="AQ192" s="452"/>
      <c r="AR192" s="452"/>
      <c r="AS192" s="494">
        <v>900</v>
      </c>
      <c r="AT192" s="494">
        <v>891</v>
      </c>
      <c r="AU192" s="495"/>
      <c r="AV192" s="495"/>
      <c r="AW192" s="147"/>
      <c r="AX192" s="119"/>
      <c r="BB192" s="119">
        <v>1</v>
      </c>
      <c r="BC192" s="119">
        <v>6</v>
      </c>
    </row>
    <row r="193" spans="1:55" ht="31.5" x14ac:dyDescent="0.25">
      <c r="A193" s="448" t="s">
        <v>855</v>
      </c>
      <c r="B193" s="449" t="s">
        <v>1042</v>
      </c>
      <c r="C193" s="450" t="s">
        <v>76</v>
      </c>
      <c r="D193" s="450" t="s">
        <v>986</v>
      </c>
      <c r="E193" s="450" t="s">
        <v>65</v>
      </c>
      <c r="F193" s="450"/>
      <c r="G193" s="452"/>
      <c r="H193" s="452"/>
      <c r="I193" s="492"/>
      <c r="J193" s="492"/>
      <c r="K193" s="492"/>
      <c r="L193" s="492"/>
      <c r="M193" s="492"/>
      <c r="N193" s="492"/>
      <c r="O193" s="492"/>
      <c r="P193" s="492"/>
      <c r="Q193" s="492"/>
      <c r="R193" s="492"/>
      <c r="S193" s="492"/>
      <c r="T193" s="492"/>
      <c r="U193" s="492"/>
      <c r="V193" s="492"/>
      <c r="W193" s="492"/>
      <c r="X193" s="453">
        <v>600</v>
      </c>
      <c r="Y193" s="453">
        <v>594</v>
      </c>
      <c r="Z193" s="453"/>
      <c r="AA193" s="453"/>
      <c r="AB193" s="453"/>
      <c r="AC193" s="452"/>
      <c r="AD193" s="452"/>
      <c r="AE193" s="452"/>
      <c r="AF193" s="452"/>
      <c r="AG193" s="452"/>
      <c r="AH193" s="452"/>
      <c r="AI193" s="452"/>
      <c r="AJ193" s="454"/>
      <c r="AK193" s="454">
        <f t="shared" si="34"/>
        <v>0</v>
      </c>
      <c r="AL193" s="454">
        <f t="shared" si="35"/>
        <v>0</v>
      </c>
      <c r="AM193" s="454">
        <v>600</v>
      </c>
      <c r="AN193" s="454">
        <v>594</v>
      </c>
      <c r="AO193" s="454"/>
      <c r="AP193" s="454"/>
      <c r="AQ193" s="452"/>
      <c r="AR193" s="452"/>
      <c r="AS193" s="494">
        <v>600</v>
      </c>
      <c r="AT193" s="494">
        <v>594</v>
      </c>
      <c r="AU193" s="495"/>
      <c r="AV193" s="495"/>
      <c r="AW193" s="147"/>
      <c r="AX193" s="119"/>
      <c r="BB193" s="119">
        <v>1</v>
      </c>
      <c r="BC193" s="119">
        <v>6</v>
      </c>
    </row>
    <row r="194" spans="1:55" ht="31.5" x14ac:dyDescent="0.25">
      <c r="A194" s="448" t="s">
        <v>857</v>
      </c>
      <c r="B194" s="449" t="s">
        <v>1043</v>
      </c>
      <c r="C194" s="450" t="s">
        <v>76</v>
      </c>
      <c r="D194" s="450" t="s">
        <v>986</v>
      </c>
      <c r="E194" s="450" t="s">
        <v>65</v>
      </c>
      <c r="F194" s="450"/>
      <c r="G194" s="452"/>
      <c r="H194" s="452"/>
      <c r="I194" s="492"/>
      <c r="J194" s="492"/>
      <c r="K194" s="492"/>
      <c r="L194" s="492"/>
      <c r="M194" s="492"/>
      <c r="N194" s="492"/>
      <c r="O194" s="492"/>
      <c r="P194" s="492"/>
      <c r="Q194" s="492"/>
      <c r="R194" s="492"/>
      <c r="S194" s="492"/>
      <c r="T194" s="492"/>
      <c r="U194" s="492"/>
      <c r="V194" s="492"/>
      <c r="W194" s="492"/>
      <c r="X194" s="453">
        <v>600</v>
      </c>
      <c r="Y194" s="453">
        <v>594</v>
      </c>
      <c r="Z194" s="453"/>
      <c r="AA194" s="453"/>
      <c r="AB194" s="453"/>
      <c r="AC194" s="452"/>
      <c r="AD194" s="452"/>
      <c r="AE194" s="452"/>
      <c r="AF194" s="452"/>
      <c r="AG194" s="452"/>
      <c r="AH194" s="452"/>
      <c r="AI194" s="452"/>
      <c r="AJ194" s="454"/>
      <c r="AK194" s="454">
        <f t="shared" si="34"/>
        <v>0</v>
      </c>
      <c r="AL194" s="454">
        <f t="shared" si="35"/>
        <v>0</v>
      </c>
      <c r="AM194" s="454">
        <v>600</v>
      </c>
      <c r="AN194" s="454">
        <v>594</v>
      </c>
      <c r="AO194" s="454"/>
      <c r="AP194" s="454"/>
      <c r="AQ194" s="452"/>
      <c r="AR194" s="452"/>
      <c r="AS194" s="494">
        <v>600</v>
      </c>
      <c r="AT194" s="494">
        <v>594</v>
      </c>
      <c r="AU194" s="495"/>
      <c r="AV194" s="495"/>
      <c r="AW194" s="147"/>
      <c r="AX194" s="119"/>
      <c r="BB194" s="119">
        <v>1</v>
      </c>
      <c r="BC194" s="119">
        <v>6</v>
      </c>
    </row>
    <row r="195" spans="1:55" ht="47.25" x14ac:dyDescent="0.25">
      <c r="A195" s="448" t="s">
        <v>859</v>
      </c>
      <c r="B195" s="449" t="s">
        <v>1044</v>
      </c>
      <c r="C195" s="450" t="s">
        <v>77</v>
      </c>
      <c r="D195" s="450" t="s">
        <v>1045</v>
      </c>
      <c r="E195" s="450" t="s">
        <v>65</v>
      </c>
      <c r="F195" s="450"/>
      <c r="G195" s="452"/>
      <c r="H195" s="452"/>
      <c r="I195" s="492"/>
      <c r="J195" s="492"/>
      <c r="K195" s="492"/>
      <c r="L195" s="492"/>
      <c r="M195" s="492"/>
      <c r="N195" s="492"/>
      <c r="O195" s="492"/>
      <c r="P195" s="492"/>
      <c r="Q195" s="492"/>
      <c r="R195" s="492"/>
      <c r="S195" s="492"/>
      <c r="T195" s="492"/>
      <c r="U195" s="492"/>
      <c r="V195" s="492"/>
      <c r="W195" s="492"/>
      <c r="X195" s="453">
        <v>2000</v>
      </c>
      <c r="Y195" s="453">
        <v>1990</v>
      </c>
      <c r="Z195" s="453"/>
      <c r="AA195" s="453"/>
      <c r="AB195" s="453"/>
      <c r="AC195" s="452"/>
      <c r="AD195" s="452"/>
      <c r="AE195" s="452"/>
      <c r="AF195" s="452"/>
      <c r="AG195" s="452"/>
      <c r="AH195" s="452"/>
      <c r="AI195" s="452"/>
      <c r="AJ195" s="454"/>
      <c r="AK195" s="454">
        <f t="shared" si="34"/>
        <v>0</v>
      </c>
      <c r="AL195" s="454">
        <f t="shared" si="35"/>
        <v>0</v>
      </c>
      <c r="AM195" s="454">
        <v>2000</v>
      </c>
      <c r="AN195" s="454">
        <v>1990</v>
      </c>
      <c r="AO195" s="454"/>
      <c r="AP195" s="454"/>
      <c r="AQ195" s="452"/>
      <c r="AR195" s="452"/>
      <c r="AS195" s="494">
        <v>2000</v>
      </c>
      <c r="AT195" s="494">
        <v>1990</v>
      </c>
      <c r="AU195" s="495"/>
      <c r="AV195" s="495"/>
      <c r="AW195" s="147"/>
      <c r="AX195" s="119"/>
      <c r="BB195" s="119">
        <v>1</v>
      </c>
      <c r="BC195" s="119">
        <v>2</v>
      </c>
    </row>
    <row r="196" spans="1:55" ht="31.5" x14ac:dyDescent="0.25">
      <c r="A196" s="448" t="s">
        <v>861</v>
      </c>
      <c r="B196" s="449" t="s">
        <v>1046</v>
      </c>
      <c r="C196" s="450" t="s">
        <v>77</v>
      </c>
      <c r="D196" s="450" t="s">
        <v>45</v>
      </c>
      <c r="E196" s="450" t="s">
        <v>55</v>
      </c>
      <c r="F196" s="450"/>
      <c r="G196" s="452"/>
      <c r="H196" s="452"/>
      <c r="I196" s="492"/>
      <c r="J196" s="492"/>
      <c r="K196" s="492"/>
      <c r="L196" s="492"/>
      <c r="M196" s="492"/>
      <c r="N196" s="492"/>
      <c r="O196" s="492"/>
      <c r="P196" s="492"/>
      <c r="Q196" s="492"/>
      <c r="R196" s="492"/>
      <c r="S196" s="492"/>
      <c r="T196" s="492"/>
      <c r="U196" s="492"/>
      <c r="V196" s="492"/>
      <c r="W196" s="492"/>
      <c r="X196" s="453">
        <v>2000</v>
      </c>
      <c r="Y196" s="453">
        <v>1740</v>
      </c>
      <c r="Z196" s="453"/>
      <c r="AA196" s="453"/>
      <c r="AB196" s="453"/>
      <c r="AC196" s="452"/>
      <c r="AD196" s="452"/>
      <c r="AE196" s="452"/>
      <c r="AF196" s="452"/>
      <c r="AG196" s="452"/>
      <c r="AH196" s="452">
        <v>660</v>
      </c>
      <c r="AI196" s="452">
        <v>660</v>
      </c>
      <c r="AJ196" s="454"/>
      <c r="AK196" s="454">
        <f t="shared" si="34"/>
        <v>0</v>
      </c>
      <c r="AL196" s="454">
        <f t="shared" si="35"/>
        <v>0</v>
      </c>
      <c r="AM196" s="454">
        <v>2000</v>
      </c>
      <c r="AN196" s="454">
        <v>1740</v>
      </c>
      <c r="AO196" s="454"/>
      <c r="AP196" s="454"/>
      <c r="AQ196" s="452"/>
      <c r="AR196" s="452"/>
      <c r="AS196" s="494">
        <v>2000</v>
      </c>
      <c r="AT196" s="494">
        <v>1740</v>
      </c>
      <c r="AU196" s="495"/>
      <c r="AV196" s="495"/>
      <c r="AW196" s="10"/>
      <c r="AX196" s="119"/>
      <c r="BB196" s="119">
        <v>1</v>
      </c>
      <c r="BC196" s="119">
        <v>3</v>
      </c>
    </row>
    <row r="197" spans="1:55" ht="47.25" x14ac:dyDescent="0.25">
      <c r="A197" s="448" t="s">
        <v>863</v>
      </c>
      <c r="B197" s="449" t="s">
        <v>1047</v>
      </c>
      <c r="C197" s="450" t="s">
        <v>77</v>
      </c>
      <c r="D197" s="450" t="s">
        <v>66</v>
      </c>
      <c r="E197" s="450" t="s">
        <v>65</v>
      </c>
      <c r="F197" s="450"/>
      <c r="G197" s="452"/>
      <c r="H197" s="452"/>
      <c r="I197" s="492"/>
      <c r="J197" s="492"/>
      <c r="K197" s="492"/>
      <c r="L197" s="492"/>
      <c r="M197" s="492"/>
      <c r="N197" s="492"/>
      <c r="O197" s="492"/>
      <c r="P197" s="492"/>
      <c r="Q197" s="492"/>
      <c r="R197" s="492"/>
      <c r="S197" s="492"/>
      <c r="T197" s="492"/>
      <c r="U197" s="492"/>
      <c r="V197" s="492"/>
      <c r="W197" s="492"/>
      <c r="X197" s="453">
        <v>1000</v>
      </c>
      <c r="Y197" s="453">
        <v>990</v>
      </c>
      <c r="Z197" s="453"/>
      <c r="AA197" s="453"/>
      <c r="AB197" s="453"/>
      <c r="AC197" s="452"/>
      <c r="AD197" s="452"/>
      <c r="AE197" s="452"/>
      <c r="AF197" s="452"/>
      <c r="AG197" s="452"/>
      <c r="AH197" s="452"/>
      <c r="AI197" s="452"/>
      <c r="AJ197" s="454"/>
      <c r="AK197" s="454">
        <f t="shared" si="34"/>
        <v>0</v>
      </c>
      <c r="AL197" s="454">
        <f t="shared" si="35"/>
        <v>0</v>
      </c>
      <c r="AM197" s="454">
        <v>1000</v>
      </c>
      <c r="AN197" s="454">
        <v>990</v>
      </c>
      <c r="AO197" s="454"/>
      <c r="AP197" s="454"/>
      <c r="AQ197" s="452"/>
      <c r="AR197" s="452"/>
      <c r="AS197" s="494">
        <v>1000</v>
      </c>
      <c r="AT197" s="494">
        <v>990</v>
      </c>
      <c r="AU197" s="495"/>
      <c r="AV197" s="495"/>
      <c r="AW197" s="10"/>
      <c r="AX197" s="119"/>
      <c r="BB197" s="119">
        <v>1</v>
      </c>
      <c r="BC197" s="119">
        <v>3</v>
      </c>
    </row>
    <row r="198" spans="1:55" ht="31.5" x14ac:dyDescent="0.25">
      <c r="A198" s="448" t="s">
        <v>866</v>
      </c>
      <c r="B198" s="449" t="s">
        <v>1048</v>
      </c>
      <c r="C198" s="450" t="s">
        <v>77</v>
      </c>
      <c r="D198" s="450" t="s">
        <v>880</v>
      </c>
      <c r="E198" s="450" t="s">
        <v>65</v>
      </c>
      <c r="F198" s="450"/>
      <c r="G198" s="452"/>
      <c r="H198" s="452"/>
      <c r="I198" s="492"/>
      <c r="J198" s="492"/>
      <c r="K198" s="492"/>
      <c r="L198" s="492"/>
      <c r="M198" s="492"/>
      <c r="N198" s="492"/>
      <c r="O198" s="492"/>
      <c r="P198" s="492"/>
      <c r="Q198" s="492"/>
      <c r="R198" s="492"/>
      <c r="S198" s="492"/>
      <c r="T198" s="492"/>
      <c r="U198" s="492"/>
      <c r="V198" s="492"/>
      <c r="W198" s="492"/>
      <c r="X198" s="453">
        <v>1000</v>
      </c>
      <c r="Y198" s="453">
        <v>990</v>
      </c>
      <c r="Z198" s="453"/>
      <c r="AA198" s="453"/>
      <c r="AB198" s="453"/>
      <c r="AC198" s="452"/>
      <c r="AD198" s="452"/>
      <c r="AE198" s="452"/>
      <c r="AF198" s="452"/>
      <c r="AG198" s="452"/>
      <c r="AH198" s="452"/>
      <c r="AI198" s="452"/>
      <c r="AJ198" s="454"/>
      <c r="AK198" s="454">
        <f t="shared" si="34"/>
        <v>0</v>
      </c>
      <c r="AL198" s="454">
        <f t="shared" si="35"/>
        <v>0</v>
      </c>
      <c r="AM198" s="454">
        <v>1000</v>
      </c>
      <c r="AN198" s="454">
        <v>990</v>
      </c>
      <c r="AO198" s="454"/>
      <c r="AP198" s="454"/>
      <c r="AQ198" s="452"/>
      <c r="AR198" s="452"/>
      <c r="AS198" s="494">
        <v>1000</v>
      </c>
      <c r="AT198" s="494">
        <v>990</v>
      </c>
      <c r="AU198" s="525"/>
      <c r="AV198" s="525"/>
      <c r="AW198" s="10"/>
      <c r="AX198" s="119"/>
      <c r="BB198" s="119">
        <v>1</v>
      </c>
      <c r="BC198" s="119">
        <v>4</v>
      </c>
    </row>
    <row r="199" spans="1:55" ht="31.5" x14ac:dyDescent="0.25">
      <c r="A199" s="448" t="s">
        <v>868</v>
      </c>
      <c r="B199" s="449" t="s">
        <v>1049</v>
      </c>
      <c r="C199" s="450" t="s">
        <v>77</v>
      </c>
      <c r="D199" s="450" t="s">
        <v>986</v>
      </c>
      <c r="E199" s="450" t="s">
        <v>65</v>
      </c>
      <c r="F199" s="450"/>
      <c r="G199" s="452"/>
      <c r="H199" s="452"/>
      <c r="I199" s="492"/>
      <c r="J199" s="492"/>
      <c r="K199" s="492"/>
      <c r="L199" s="492"/>
      <c r="M199" s="492"/>
      <c r="N199" s="492"/>
      <c r="O199" s="492"/>
      <c r="P199" s="492"/>
      <c r="Q199" s="492"/>
      <c r="R199" s="492"/>
      <c r="S199" s="492"/>
      <c r="T199" s="492"/>
      <c r="U199" s="492"/>
      <c r="V199" s="492"/>
      <c r="W199" s="492"/>
      <c r="X199" s="453">
        <v>600</v>
      </c>
      <c r="Y199" s="453">
        <v>594</v>
      </c>
      <c r="Z199" s="453"/>
      <c r="AA199" s="453"/>
      <c r="AB199" s="453"/>
      <c r="AC199" s="452"/>
      <c r="AD199" s="452"/>
      <c r="AE199" s="452"/>
      <c r="AF199" s="452"/>
      <c r="AG199" s="452"/>
      <c r="AH199" s="452"/>
      <c r="AI199" s="452"/>
      <c r="AJ199" s="454"/>
      <c r="AK199" s="454">
        <f t="shared" si="34"/>
        <v>0</v>
      </c>
      <c r="AL199" s="454">
        <f t="shared" si="35"/>
        <v>0</v>
      </c>
      <c r="AM199" s="454">
        <v>600</v>
      </c>
      <c r="AN199" s="454">
        <v>594</v>
      </c>
      <c r="AO199" s="454"/>
      <c r="AP199" s="454"/>
      <c r="AQ199" s="452"/>
      <c r="AR199" s="452"/>
      <c r="AS199" s="494">
        <v>600</v>
      </c>
      <c r="AT199" s="494">
        <v>594</v>
      </c>
      <c r="AU199" s="525"/>
      <c r="AV199" s="525"/>
      <c r="AW199" s="10"/>
      <c r="AX199" s="119"/>
      <c r="BB199" s="119">
        <v>1</v>
      </c>
      <c r="BC199" s="119">
        <v>4</v>
      </c>
    </row>
    <row r="200" spans="1:55" ht="31.5" x14ac:dyDescent="0.25">
      <c r="A200" s="448" t="s">
        <v>871</v>
      </c>
      <c r="B200" s="449" t="s">
        <v>1050</v>
      </c>
      <c r="C200" s="450" t="s">
        <v>77</v>
      </c>
      <c r="D200" s="450" t="s">
        <v>986</v>
      </c>
      <c r="E200" s="450" t="s">
        <v>65</v>
      </c>
      <c r="F200" s="450"/>
      <c r="G200" s="452"/>
      <c r="H200" s="452"/>
      <c r="I200" s="492"/>
      <c r="J200" s="492"/>
      <c r="K200" s="492"/>
      <c r="L200" s="492"/>
      <c r="M200" s="492"/>
      <c r="N200" s="492"/>
      <c r="O200" s="492"/>
      <c r="P200" s="492"/>
      <c r="Q200" s="492"/>
      <c r="R200" s="492"/>
      <c r="S200" s="492"/>
      <c r="T200" s="492"/>
      <c r="U200" s="492"/>
      <c r="V200" s="492"/>
      <c r="W200" s="492"/>
      <c r="X200" s="453">
        <v>600</v>
      </c>
      <c r="Y200" s="453">
        <v>594</v>
      </c>
      <c r="Z200" s="453"/>
      <c r="AA200" s="453"/>
      <c r="AB200" s="453"/>
      <c r="AC200" s="452"/>
      <c r="AD200" s="452"/>
      <c r="AE200" s="452"/>
      <c r="AF200" s="452"/>
      <c r="AG200" s="452"/>
      <c r="AH200" s="452"/>
      <c r="AI200" s="452"/>
      <c r="AJ200" s="454"/>
      <c r="AK200" s="454">
        <f t="shared" si="34"/>
        <v>0</v>
      </c>
      <c r="AL200" s="454">
        <f t="shared" si="35"/>
        <v>0</v>
      </c>
      <c r="AM200" s="454">
        <v>600</v>
      </c>
      <c r="AN200" s="454">
        <v>594</v>
      </c>
      <c r="AO200" s="454"/>
      <c r="AP200" s="454"/>
      <c r="AQ200" s="452"/>
      <c r="AR200" s="452"/>
      <c r="AS200" s="494">
        <v>600</v>
      </c>
      <c r="AT200" s="494">
        <v>594</v>
      </c>
      <c r="AU200" s="525"/>
      <c r="AV200" s="525"/>
      <c r="AW200" s="10"/>
      <c r="AX200" s="119"/>
      <c r="BB200" s="119">
        <v>1</v>
      </c>
      <c r="BC200" s="119">
        <v>4</v>
      </c>
    </row>
    <row r="201" spans="1:55" s="14" customFormat="1" ht="31.5" x14ac:dyDescent="0.25">
      <c r="A201" s="448" t="s">
        <v>874</v>
      </c>
      <c r="B201" s="449" t="s">
        <v>1051</v>
      </c>
      <c r="C201" s="450" t="s">
        <v>71</v>
      </c>
      <c r="D201" s="450" t="s">
        <v>999</v>
      </c>
      <c r="E201" s="450" t="s">
        <v>65</v>
      </c>
      <c r="F201" s="450"/>
      <c r="G201" s="452"/>
      <c r="H201" s="452"/>
      <c r="I201" s="492"/>
      <c r="J201" s="492"/>
      <c r="K201" s="492"/>
      <c r="L201" s="492"/>
      <c r="M201" s="492"/>
      <c r="N201" s="492"/>
      <c r="O201" s="492"/>
      <c r="P201" s="492"/>
      <c r="Q201" s="492"/>
      <c r="R201" s="492"/>
      <c r="S201" s="492"/>
      <c r="T201" s="492"/>
      <c r="U201" s="492"/>
      <c r="V201" s="492"/>
      <c r="W201" s="492"/>
      <c r="X201" s="453">
        <v>9800</v>
      </c>
      <c r="Y201" s="453">
        <v>9790</v>
      </c>
      <c r="Z201" s="453"/>
      <c r="AA201" s="453"/>
      <c r="AB201" s="453"/>
      <c r="AC201" s="452"/>
      <c r="AD201" s="452"/>
      <c r="AE201" s="452"/>
      <c r="AF201" s="452"/>
      <c r="AG201" s="452"/>
      <c r="AH201" s="452"/>
      <c r="AI201" s="452"/>
      <c r="AJ201" s="454"/>
      <c r="AK201" s="454">
        <f t="shared" si="34"/>
        <v>0</v>
      </c>
      <c r="AL201" s="454">
        <f t="shared" si="35"/>
        <v>5830</v>
      </c>
      <c r="AM201" s="454">
        <v>4000</v>
      </c>
      <c r="AN201" s="454">
        <v>3960</v>
      </c>
      <c r="AO201" s="454"/>
      <c r="AP201" s="454"/>
      <c r="AQ201" s="452"/>
      <c r="AR201" s="452"/>
      <c r="AS201" s="494">
        <v>4000</v>
      </c>
      <c r="AT201" s="494">
        <v>3960</v>
      </c>
      <c r="AU201" s="54">
        <v>0</v>
      </c>
      <c r="AV201" s="54">
        <v>0</v>
      </c>
      <c r="AW201" s="141"/>
    </row>
    <row r="202" spans="1:55" s="479" customFormat="1" ht="31.5" x14ac:dyDescent="0.25">
      <c r="A202" s="448" t="s">
        <v>876</v>
      </c>
      <c r="B202" s="449" t="s">
        <v>1052</v>
      </c>
      <c r="C202" s="450" t="s">
        <v>73</v>
      </c>
      <c r="D202" s="450" t="s">
        <v>986</v>
      </c>
      <c r="E202" s="450" t="s">
        <v>65</v>
      </c>
      <c r="F202" s="450"/>
      <c r="G202" s="452"/>
      <c r="H202" s="452"/>
      <c r="I202" s="492"/>
      <c r="J202" s="492"/>
      <c r="K202" s="492"/>
      <c r="L202" s="492"/>
      <c r="M202" s="492"/>
      <c r="N202" s="492"/>
      <c r="O202" s="492"/>
      <c r="P202" s="492"/>
      <c r="Q202" s="492"/>
      <c r="R202" s="492"/>
      <c r="S202" s="492"/>
      <c r="T202" s="492"/>
      <c r="U202" s="492"/>
      <c r="V202" s="492"/>
      <c r="W202" s="492"/>
      <c r="X202" s="453">
        <v>600</v>
      </c>
      <c r="Y202" s="453">
        <v>594</v>
      </c>
      <c r="Z202" s="453"/>
      <c r="AA202" s="453"/>
      <c r="AB202" s="453"/>
      <c r="AC202" s="452"/>
      <c r="AD202" s="452"/>
      <c r="AE202" s="452"/>
      <c r="AF202" s="452"/>
      <c r="AG202" s="452"/>
      <c r="AH202" s="452"/>
      <c r="AI202" s="452"/>
      <c r="AJ202" s="454"/>
      <c r="AK202" s="454">
        <f t="shared" si="34"/>
        <v>0</v>
      </c>
      <c r="AL202" s="454">
        <f t="shared" si="35"/>
        <v>594</v>
      </c>
      <c r="AM202" s="454"/>
      <c r="AN202" s="454"/>
      <c r="AO202" s="454"/>
      <c r="AP202" s="454"/>
      <c r="AQ202" s="452"/>
      <c r="AR202" s="452"/>
      <c r="AS202" s="494"/>
      <c r="AT202" s="494"/>
      <c r="AU202" s="478"/>
      <c r="AV202" s="478"/>
      <c r="AW202" s="510"/>
      <c r="BB202" s="479">
        <v>1</v>
      </c>
      <c r="BC202" s="479" t="s">
        <v>733</v>
      </c>
    </row>
    <row r="203" spans="1:55" s="479" customFormat="1" ht="31.5" x14ac:dyDescent="0.25">
      <c r="A203" s="448" t="s">
        <v>878</v>
      </c>
      <c r="B203" s="449" t="s">
        <v>1053</v>
      </c>
      <c r="C203" s="450" t="s">
        <v>76</v>
      </c>
      <c r="D203" s="450" t="s">
        <v>994</v>
      </c>
      <c r="E203" s="450" t="s">
        <v>65</v>
      </c>
      <c r="F203" s="450"/>
      <c r="G203" s="452"/>
      <c r="H203" s="452"/>
      <c r="I203" s="492"/>
      <c r="J203" s="492"/>
      <c r="K203" s="492"/>
      <c r="L203" s="492"/>
      <c r="M203" s="492"/>
      <c r="N203" s="492"/>
      <c r="O203" s="492"/>
      <c r="P203" s="492"/>
      <c r="Q203" s="492"/>
      <c r="R203" s="492"/>
      <c r="S203" s="492"/>
      <c r="T203" s="492"/>
      <c r="U203" s="492"/>
      <c r="V203" s="492"/>
      <c r="W203" s="492"/>
      <c r="X203" s="453">
        <v>900</v>
      </c>
      <c r="Y203" s="453">
        <v>891</v>
      </c>
      <c r="Z203" s="453"/>
      <c r="AA203" s="453"/>
      <c r="AB203" s="453"/>
      <c r="AC203" s="452"/>
      <c r="AD203" s="452"/>
      <c r="AE203" s="452"/>
      <c r="AF203" s="452"/>
      <c r="AG203" s="452"/>
      <c r="AH203" s="452"/>
      <c r="AI203" s="452"/>
      <c r="AJ203" s="454"/>
      <c r="AK203" s="454">
        <f t="shared" si="34"/>
        <v>0</v>
      </c>
      <c r="AL203" s="454">
        <f t="shared" si="35"/>
        <v>891</v>
      </c>
      <c r="AM203" s="454"/>
      <c r="AN203" s="454"/>
      <c r="AO203" s="454"/>
      <c r="AP203" s="454"/>
      <c r="AQ203" s="452"/>
      <c r="AR203" s="452"/>
      <c r="AS203" s="494"/>
      <c r="AT203" s="494"/>
      <c r="AU203" s="509">
        <v>0</v>
      </c>
      <c r="AV203" s="509">
        <v>0</v>
      </c>
      <c r="AW203" s="510"/>
    </row>
    <row r="204" spans="1:55" ht="47.25" x14ac:dyDescent="0.25">
      <c r="A204" s="448" t="s">
        <v>881</v>
      </c>
      <c r="B204" s="449" t="s">
        <v>1054</v>
      </c>
      <c r="C204" s="450" t="s">
        <v>76</v>
      </c>
      <c r="D204" s="450" t="s">
        <v>1055</v>
      </c>
      <c r="E204" s="450" t="s">
        <v>61</v>
      </c>
      <c r="F204" s="449"/>
      <c r="G204" s="526"/>
      <c r="H204" s="526"/>
      <c r="I204" s="526"/>
      <c r="J204" s="526"/>
      <c r="K204" s="526"/>
      <c r="L204" s="526"/>
      <c r="M204" s="526"/>
      <c r="N204" s="526"/>
      <c r="O204" s="526"/>
      <c r="P204" s="526"/>
      <c r="Q204" s="526"/>
      <c r="R204" s="526"/>
      <c r="S204" s="526"/>
      <c r="T204" s="526"/>
      <c r="U204" s="526"/>
      <c r="V204" s="526"/>
      <c r="W204" s="526"/>
      <c r="X204" s="526"/>
      <c r="Y204" s="526"/>
      <c r="Z204" s="526"/>
      <c r="AA204" s="526"/>
      <c r="AB204" s="526"/>
      <c r="AC204" s="526"/>
      <c r="AD204" s="526"/>
      <c r="AE204" s="526"/>
      <c r="AF204" s="526"/>
      <c r="AG204" s="526"/>
      <c r="AH204" s="526"/>
      <c r="AI204" s="526"/>
      <c r="AJ204" s="526"/>
      <c r="AK204" s="454">
        <f t="shared" si="34"/>
        <v>891</v>
      </c>
      <c r="AL204" s="454">
        <f t="shared" si="35"/>
        <v>0</v>
      </c>
      <c r="AM204" s="454">
        <v>900</v>
      </c>
      <c r="AN204" s="454">
        <v>891</v>
      </c>
      <c r="AO204" s="526"/>
      <c r="AP204" s="526"/>
      <c r="AQ204" s="527"/>
      <c r="AR204" s="527"/>
      <c r="AS204" s="494">
        <v>900</v>
      </c>
      <c r="AT204" s="494">
        <v>891</v>
      </c>
      <c r="AU204" s="495"/>
      <c r="AV204" s="495"/>
      <c r="AW204" s="147"/>
      <c r="AX204" s="119"/>
      <c r="BB204" s="119">
        <v>1</v>
      </c>
      <c r="BC204" s="119">
        <v>6</v>
      </c>
    </row>
    <row r="205" spans="1:55" ht="31.5" x14ac:dyDescent="0.25">
      <c r="A205" s="448" t="s">
        <v>884</v>
      </c>
      <c r="B205" s="449" t="s">
        <v>1056</v>
      </c>
      <c r="C205" s="450" t="s">
        <v>71</v>
      </c>
      <c r="D205" s="450" t="s">
        <v>1057</v>
      </c>
      <c r="E205" s="450" t="s">
        <v>61</v>
      </c>
      <c r="F205" s="449"/>
      <c r="G205" s="526"/>
      <c r="H205" s="526"/>
      <c r="I205" s="526"/>
      <c r="J205" s="526"/>
      <c r="K205" s="526"/>
      <c r="L205" s="526"/>
      <c r="M205" s="526"/>
      <c r="N205" s="526"/>
      <c r="O205" s="526"/>
      <c r="P205" s="526"/>
      <c r="Q205" s="526"/>
      <c r="R205" s="526"/>
      <c r="S205" s="526"/>
      <c r="T205" s="526"/>
      <c r="U205" s="526"/>
      <c r="V205" s="526"/>
      <c r="W205" s="526"/>
      <c r="X205" s="526"/>
      <c r="Y205" s="526"/>
      <c r="Z205" s="526"/>
      <c r="AA205" s="526"/>
      <c r="AB205" s="526"/>
      <c r="AC205" s="526"/>
      <c r="AD205" s="526"/>
      <c r="AE205" s="526"/>
      <c r="AF205" s="526"/>
      <c r="AG205" s="526"/>
      <c r="AH205" s="526"/>
      <c r="AI205" s="526"/>
      <c r="AJ205" s="526"/>
      <c r="AK205" s="454">
        <f t="shared" si="34"/>
        <v>5830</v>
      </c>
      <c r="AL205" s="454">
        <f t="shared" si="35"/>
        <v>0</v>
      </c>
      <c r="AM205" s="454">
        <v>5900</v>
      </c>
      <c r="AN205" s="454">
        <v>5830</v>
      </c>
      <c r="AO205" s="526"/>
      <c r="AP205" s="526"/>
      <c r="AQ205" s="527"/>
      <c r="AR205" s="527"/>
      <c r="AS205" s="494">
        <v>5900</v>
      </c>
      <c r="AT205" s="494">
        <v>5830</v>
      </c>
      <c r="AU205" s="495"/>
      <c r="AV205" s="495"/>
      <c r="AW205" s="147"/>
      <c r="AX205" s="119"/>
      <c r="BB205" s="119">
        <v>1</v>
      </c>
      <c r="BC205" s="119">
        <v>6</v>
      </c>
    </row>
    <row r="206" spans="1:55" ht="31.5" x14ac:dyDescent="0.25">
      <c r="A206" s="448" t="s">
        <v>886</v>
      </c>
      <c r="B206" s="449" t="s">
        <v>1058</v>
      </c>
      <c r="C206" s="450" t="s">
        <v>73</v>
      </c>
      <c r="D206" s="450" t="s">
        <v>1021</v>
      </c>
      <c r="E206" s="450" t="s">
        <v>78</v>
      </c>
      <c r="F206" s="449"/>
      <c r="G206" s="526"/>
      <c r="H206" s="526"/>
      <c r="I206" s="526"/>
      <c r="J206" s="526"/>
      <c r="K206" s="526"/>
      <c r="L206" s="526"/>
      <c r="M206" s="526"/>
      <c r="N206" s="526"/>
      <c r="O206" s="526"/>
      <c r="P206" s="526"/>
      <c r="Q206" s="526"/>
      <c r="R206" s="526"/>
      <c r="S206" s="526"/>
      <c r="T206" s="526"/>
      <c r="U206" s="526"/>
      <c r="V206" s="526"/>
      <c r="W206" s="526"/>
      <c r="X206" s="526"/>
      <c r="Y206" s="526"/>
      <c r="Z206" s="526"/>
      <c r="AA206" s="526"/>
      <c r="AB206" s="526"/>
      <c r="AC206" s="526"/>
      <c r="AD206" s="526"/>
      <c r="AE206" s="526"/>
      <c r="AF206" s="526"/>
      <c r="AG206" s="526"/>
      <c r="AH206" s="526"/>
      <c r="AI206" s="526"/>
      <c r="AJ206" s="526"/>
      <c r="AK206" s="454">
        <f t="shared" si="34"/>
        <v>594</v>
      </c>
      <c r="AL206" s="454">
        <f t="shared" si="35"/>
        <v>0</v>
      </c>
      <c r="AM206" s="454">
        <v>600</v>
      </c>
      <c r="AN206" s="454">
        <v>594</v>
      </c>
      <c r="AO206" s="526"/>
      <c r="AP206" s="526"/>
      <c r="AQ206" s="527"/>
      <c r="AR206" s="527"/>
      <c r="AS206" s="494">
        <v>600</v>
      </c>
      <c r="AT206" s="494">
        <v>594</v>
      </c>
      <c r="AU206" s="495"/>
      <c r="AV206" s="495"/>
      <c r="AW206" s="147"/>
      <c r="AX206" s="119"/>
      <c r="BB206" s="119">
        <v>1</v>
      </c>
      <c r="BC206" s="119">
        <v>6</v>
      </c>
    </row>
    <row r="207" spans="1:55" ht="38.25" customHeight="1" x14ac:dyDescent="0.25">
      <c r="A207" s="426" t="s">
        <v>700</v>
      </c>
      <c r="B207" s="427" t="s">
        <v>1059</v>
      </c>
      <c r="C207" s="464"/>
      <c r="D207" s="464"/>
      <c r="E207" s="464"/>
      <c r="F207" s="464"/>
      <c r="G207" s="465">
        <f>+G208+G209</f>
        <v>18287.681</v>
      </c>
      <c r="H207" s="465">
        <f t="shared" ref="H207:AV207" si="36">+H208+H209</f>
        <v>7425.2904919999992</v>
      </c>
      <c r="I207" s="465">
        <f t="shared" si="36"/>
        <v>0</v>
      </c>
      <c r="J207" s="465">
        <f t="shared" si="36"/>
        <v>0</v>
      </c>
      <c r="K207" s="465">
        <f t="shared" si="36"/>
        <v>0</v>
      </c>
      <c r="L207" s="465">
        <f t="shared" si="36"/>
        <v>1555</v>
      </c>
      <c r="M207" s="465">
        <f t="shared" si="36"/>
        <v>0</v>
      </c>
      <c r="N207" s="465">
        <f t="shared" si="36"/>
        <v>1555</v>
      </c>
      <c r="O207" s="465">
        <f t="shared" si="36"/>
        <v>0</v>
      </c>
      <c r="P207" s="465">
        <f t="shared" si="36"/>
        <v>0</v>
      </c>
      <c r="Q207" s="465">
        <f t="shared" si="36"/>
        <v>0</v>
      </c>
      <c r="R207" s="465">
        <f t="shared" si="36"/>
        <v>0</v>
      </c>
      <c r="S207" s="465">
        <f t="shared" si="36"/>
        <v>0</v>
      </c>
      <c r="T207" s="465">
        <f t="shared" si="36"/>
        <v>0</v>
      </c>
      <c r="U207" s="465">
        <f t="shared" si="36"/>
        <v>0</v>
      </c>
      <c r="V207" s="465">
        <f t="shared" si="36"/>
        <v>0</v>
      </c>
      <c r="W207" s="465">
        <f t="shared" si="36"/>
        <v>0</v>
      </c>
      <c r="X207" s="465">
        <f t="shared" si="36"/>
        <v>148100.97149200001</v>
      </c>
      <c r="Y207" s="465">
        <f t="shared" si="36"/>
        <v>143263.290492</v>
      </c>
      <c r="Z207" s="465">
        <f t="shared" si="36"/>
        <v>0</v>
      </c>
      <c r="AA207" s="465">
        <f t="shared" si="36"/>
        <v>0</v>
      </c>
      <c r="AB207" s="465">
        <f t="shared" si="36"/>
        <v>0</v>
      </c>
      <c r="AC207" s="465">
        <f t="shared" si="36"/>
        <v>0</v>
      </c>
      <c r="AD207" s="465">
        <f t="shared" si="36"/>
        <v>12382</v>
      </c>
      <c r="AE207" s="465">
        <f t="shared" si="36"/>
        <v>6353</v>
      </c>
      <c r="AF207" s="465">
        <f t="shared" si="36"/>
        <v>0</v>
      </c>
      <c r="AG207" s="465">
        <f t="shared" si="36"/>
        <v>0</v>
      </c>
      <c r="AH207" s="465">
        <f t="shared" si="36"/>
        <v>14625</v>
      </c>
      <c r="AI207" s="465">
        <f t="shared" si="36"/>
        <v>14625</v>
      </c>
      <c r="AJ207" s="465">
        <f t="shared" si="36"/>
        <v>0</v>
      </c>
      <c r="AK207" s="465">
        <f t="shared" si="36"/>
        <v>22340</v>
      </c>
      <c r="AL207" s="465">
        <f t="shared" si="36"/>
        <v>22340.290492</v>
      </c>
      <c r="AM207" s="466">
        <f t="shared" si="36"/>
        <v>162547</v>
      </c>
      <c r="AN207" s="466">
        <f t="shared" si="36"/>
        <v>143263</v>
      </c>
      <c r="AO207" s="466">
        <f t="shared" si="36"/>
        <v>0</v>
      </c>
      <c r="AP207" s="466">
        <f t="shared" si="36"/>
        <v>0</v>
      </c>
      <c r="AQ207" s="467">
        <f t="shared" si="36"/>
        <v>8654</v>
      </c>
      <c r="AR207" s="467">
        <f t="shared" si="36"/>
        <v>8654</v>
      </c>
      <c r="AS207" s="467">
        <f t="shared" si="36"/>
        <v>165386</v>
      </c>
      <c r="AT207" s="467">
        <f t="shared" si="36"/>
        <v>143263</v>
      </c>
      <c r="AU207" s="466">
        <f t="shared" si="36"/>
        <v>0</v>
      </c>
      <c r="AV207" s="466">
        <f t="shared" si="36"/>
        <v>0</v>
      </c>
      <c r="AW207" s="147"/>
      <c r="AX207" s="119"/>
      <c r="BB207" s="119">
        <v>1</v>
      </c>
      <c r="BC207" s="119">
        <v>6</v>
      </c>
    </row>
    <row r="208" spans="1:55" ht="47.25" x14ac:dyDescent="0.25">
      <c r="A208" s="469" t="s">
        <v>730</v>
      </c>
      <c r="B208" s="470" t="s">
        <v>731</v>
      </c>
      <c r="C208" s="471"/>
      <c r="D208" s="471"/>
      <c r="E208" s="471"/>
      <c r="F208" s="471"/>
      <c r="G208" s="472">
        <f>+L208+X208</f>
        <v>4179.6810000000005</v>
      </c>
      <c r="H208" s="472">
        <v>1070</v>
      </c>
      <c r="I208" s="473"/>
      <c r="J208" s="473"/>
      <c r="K208" s="473"/>
      <c r="L208" s="473">
        <v>1555</v>
      </c>
      <c r="M208" s="473"/>
      <c r="N208" s="473">
        <v>1555</v>
      </c>
      <c r="O208" s="473">
        <v>0</v>
      </c>
      <c r="P208" s="473"/>
      <c r="Q208" s="473"/>
      <c r="R208" s="473"/>
      <c r="S208" s="473"/>
      <c r="T208" s="473"/>
      <c r="U208" s="473"/>
      <c r="V208" s="473"/>
      <c r="W208" s="473"/>
      <c r="X208" s="474">
        <v>2624.681</v>
      </c>
      <c r="Y208" s="474">
        <v>1070</v>
      </c>
      <c r="Z208" s="474"/>
      <c r="AA208" s="474"/>
      <c r="AB208" s="474"/>
      <c r="AC208" s="472"/>
      <c r="AD208" s="472">
        <v>2624.681</v>
      </c>
      <c r="AE208" s="472">
        <v>1070</v>
      </c>
      <c r="AF208" s="472"/>
      <c r="AG208" s="472"/>
      <c r="AH208" s="472"/>
      <c r="AI208" s="472"/>
      <c r="AJ208" s="475"/>
      <c r="AK208" s="454">
        <f>IF(AN208-Y208&gt;0,AN208-Y208,0)</f>
        <v>1555</v>
      </c>
      <c r="AL208" s="454">
        <f>IF(Y208-AN208&gt;0,Y208-AN208,0)</f>
        <v>0</v>
      </c>
      <c r="AM208" s="474">
        <v>2625</v>
      </c>
      <c r="AN208" s="474">
        <v>2625</v>
      </c>
      <c r="AO208" s="475"/>
      <c r="AP208" s="475"/>
      <c r="AQ208" s="472"/>
      <c r="AR208" s="472"/>
      <c r="AS208" s="528">
        <v>2625</v>
      </c>
      <c r="AT208" s="528">
        <v>2625</v>
      </c>
      <c r="AU208" s="495"/>
      <c r="AV208" s="495"/>
      <c r="AW208" s="147"/>
      <c r="AX208" s="119"/>
      <c r="BB208" s="119">
        <v>1</v>
      </c>
      <c r="BC208" s="119">
        <v>6</v>
      </c>
    </row>
    <row r="209" spans="1:55" ht="31.5" x14ac:dyDescent="0.25">
      <c r="A209" s="469" t="s">
        <v>730</v>
      </c>
      <c r="B209" s="470" t="s">
        <v>1060</v>
      </c>
      <c r="C209" s="471"/>
      <c r="D209" s="471"/>
      <c r="E209" s="471"/>
      <c r="F209" s="471"/>
      <c r="G209" s="490">
        <f t="shared" ref="G209:AV209" si="37">SUM(G210:G369)</f>
        <v>14108</v>
      </c>
      <c r="H209" s="490">
        <f t="shared" si="37"/>
        <v>6355.2904919999992</v>
      </c>
      <c r="I209" s="490">
        <f t="shared" si="37"/>
        <v>0</v>
      </c>
      <c r="J209" s="490">
        <f t="shared" si="37"/>
        <v>0</v>
      </c>
      <c r="K209" s="490">
        <f t="shared" si="37"/>
        <v>0</v>
      </c>
      <c r="L209" s="490">
        <f t="shared" si="37"/>
        <v>0</v>
      </c>
      <c r="M209" s="490">
        <f t="shared" si="37"/>
        <v>0</v>
      </c>
      <c r="N209" s="490">
        <f t="shared" si="37"/>
        <v>0</v>
      </c>
      <c r="O209" s="490">
        <f t="shared" si="37"/>
        <v>0</v>
      </c>
      <c r="P209" s="490">
        <f t="shared" si="37"/>
        <v>0</v>
      </c>
      <c r="Q209" s="490">
        <f t="shared" si="37"/>
        <v>0</v>
      </c>
      <c r="R209" s="490">
        <f t="shared" si="37"/>
        <v>0</v>
      </c>
      <c r="S209" s="490">
        <f t="shared" si="37"/>
        <v>0</v>
      </c>
      <c r="T209" s="490">
        <f t="shared" si="37"/>
        <v>0</v>
      </c>
      <c r="U209" s="490">
        <f t="shared" si="37"/>
        <v>0</v>
      </c>
      <c r="V209" s="490">
        <f t="shared" si="37"/>
        <v>0</v>
      </c>
      <c r="W209" s="490">
        <f t="shared" si="37"/>
        <v>0</v>
      </c>
      <c r="X209" s="490">
        <f t="shared" si="37"/>
        <v>145476.290492</v>
      </c>
      <c r="Y209" s="490">
        <f t="shared" si="37"/>
        <v>142193.290492</v>
      </c>
      <c r="Z209" s="490">
        <f t="shared" si="37"/>
        <v>0</v>
      </c>
      <c r="AA209" s="490">
        <f t="shared" si="37"/>
        <v>0</v>
      </c>
      <c r="AB209" s="490">
        <f t="shared" si="37"/>
        <v>0</v>
      </c>
      <c r="AC209" s="490">
        <f t="shared" si="37"/>
        <v>0</v>
      </c>
      <c r="AD209" s="490">
        <f t="shared" si="37"/>
        <v>9757.3189999999995</v>
      </c>
      <c r="AE209" s="490">
        <f t="shared" si="37"/>
        <v>5283</v>
      </c>
      <c r="AF209" s="490">
        <f t="shared" si="37"/>
        <v>0</v>
      </c>
      <c r="AG209" s="490">
        <f t="shared" si="37"/>
        <v>0</v>
      </c>
      <c r="AH209" s="490">
        <f t="shared" si="37"/>
        <v>14625</v>
      </c>
      <c r="AI209" s="490">
        <f t="shared" si="37"/>
        <v>14625</v>
      </c>
      <c r="AJ209" s="490">
        <f t="shared" si="37"/>
        <v>0</v>
      </c>
      <c r="AK209" s="490">
        <f t="shared" si="37"/>
        <v>20785</v>
      </c>
      <c r="AL209" s="490">
        <f t="shared" si="37"/>
        <v>22340.290492</v>
      </c>
      <c r="AM209" s="490">
        <f t="shared" si="37"/>
        <v>159922</v>
      </c>
      <c r="AN209" s="490">
        <f t="shared" si="37"/>
        <v>140638</v>
      </c>
      <c r="AO209" s="490">
        <f t="shared" si="37"/>
        <v>0</v>
      </c>
      <c r="AP209" s="490">
        <f t="shared" si="37"/>
        <v>0</v>
      </c>
      <c r="AQ209" s="477">
        <f t="shared" si="37"/>
        <v>8654</v>
      </c>
      <c r="AR209" s="477">
        <f t="shared" si="37"/>
        <v>8654</v>
      </c>
      <c r="AS209" s="477">
        <f t="shared" si="37"/>
        <v>162761</v>
      </c>
      <c r="AT209" s="477">
        <f t="shared" si="37"/>
        <v>140638</v>
      </c>
      <c r="AU209" s="490">
        <f t="shared" si="37"/>
        <v>0</v>
      </c>
      <c r="AV209" s="490">
        <f t="shared" si="37"/>
        <v>0</v>
      </c>
      <c r="AW209" s="147"/>
      <c r="AX209" s="119"/>
      <c r="BB209" s="119">
        <v>1</v>
      </c>
      <c r="BC209" s="119">
        <v>6</v>
      </c>
    </row>
    <row r="210" spans="1:55" ht="47.25" x14ac:dyDescent="0.25">
      <c r="A210" s="448" t="s">
        <v>688</v>
      </c>
      <c r="B210" s="449" t="s">
        <v>1061</v>
      </c>
      <c r="C210" s="450" t="s">
        <v>1062</v>
      </c>
      <c r="D210" s="450"/>
      <c r="E210" s="450" t="s">
        <v>1063</v>
      </c>
      <c r="F210" s="450" t="s">
        <v>1064</v>
      </c>
      <c r="G210" s="452">
        <v>800</v>
      </c>
      <c r="H210" s="452">
        <v>653</v>
      </c>
      <c r="I210" s="492"/>
      <c r="J210" s="492"/>
      <c r="K210" s="492"/>
      <c r="L210" s="492"/>
      <c r="M210" s="492"/>
      <c r="N210" s="492"/>
      <c r="O210" s="492"/>
      <c r="P210" s="492"/>
      <c r="Q210" s="492"/>
      <c r="R210" s="492"/>
      <c r="S210" s="492"/>
      <c r="T210" s="492"/>
      <c r="U210" s="492"/>
      <c r="V210" s="492"/>
      <c r="W210" s="492"/>
      <c r="X210" s="453">
        <v>653</v>
      </c>
      <c r="Y210" s="453">
        <v>653</v>
      </c>
      <c r="Z210" s="453"/>
      <c r="AA210" s="453"/>
      <c r="AB210" s="453"/>
      <c r="AC210" s="452"/>
      <c r="AD210" s="452">
        <v>653</v>
      </c>
      <c r="AE210" s="452">
        <v>653</v>
      </c>
      <c r="AF210" s="452"/>
      <c r="AG210" s="452"/>
      <c r="AH210" s="452"/>
      <c r="AI210" s="452"/>
      <c r="AJ210" s="454"/>
      <c r="AK210" s="454">
        <f t="shared" ref="AK210:AK273" si="38">IF(AN210-Y210&gt;0,AN210-Y210,0)</f>
        <v>0</v>
      </c>
      <c r="AL210" s="454">
        <f t="shared" ref="AL210:AL273" si="39">IF(Y210-AN210&gt;0,Y210-AN210,0)</f>
        <v>0</v>
      </c>
      <c r="AM210" s="454">
        <v>800</v>
      </c>
      <c r="AN210" s="454">
        <v>653</v>
      </c>
      <c r="AO210" s="454"/>
      <c r="AP210" s="454"/>
      <c r="AQ210" s="452"/>
      <c r="AR210" s="452"/>
      <c r="AS210" s="494">
        <v>800</v>
      </c>
      <c r="AT210" s="494">
        <v>653</v>
      </c>
      <c r="AU210" s="495"/>
      <c r="AV210" s="495"/>
      <c r="AW210" s="147"/>
      <c r="AX210" s="119"/>
      <c r="BB210" s="119">
        <v>1</v>
      </c>
      <c r="BC210" s="119">
        <v>6</v>
      </c>
    </row>
    <row r="211" spans="1:55" ht="47.25" x14ac:dyDescent="0.25">
      <c r="A211" s="448" t="s">
        <v>693</v>
      </c>
      <c r="B211" s="449" t="s">
        <v>1065</v>
      </c>
      <c r="C211" s="450" t="s">
        <v>1066</v>
      </c>
      <c r="D211" s="450"/>
      <c r="E211" s="450" t="s">
        <v>1063</v>
      </c>
      <c r="F211" s="450" t="s">
        <v>1067</v>
      </c>
      <c r="G211" s="452">
        <v>1997</v>
      </c>
      <c r="H211" s="452">
        <v>1720</v>
      </c>
      <c r="I211" s="492"/>
      <c r="J211" s="492"/>
      <c r="K211" s="492"/>
      <c r="L211" s="492"/>
      <c r="M211" s="492"/>
      <c r="N211" s="492"/>
      <c r="O211" s="492"/>
      <c r="P211" s="492"/>
      <c r="Q211" s="492"/>
      <c r="R211" s="492"/>
      <c r="S211" s="492"/>
      <c r="T211" s="492"/>
      <c r="U211" s="492"/>
      <c r="V211" s="492"/>
      <c r="W211" s="492"/>
      <c r="X211" s="453">
        <v>1720</v>
      </c>
      <c r="Y211" s="453">
        <v>1720</v>
      </c>
      <c r="Z211" s="453"/>
      <c r="AA211" s="453"/>
      <c r="AB211" s="453"/>
      <c r="AC211" s="452"/>
      <c r="AD211" s="452">
        <v>1720</v>
      </c>
      <c r="AE211" s="452">
        <v>1720</v>
      </c>
      <c r="AF211" s="452"/>
      <c r="AG211" s="452"/>
      <c r="AH211" s="452"/>
      <c r="AI211" s="452"/>
      <c r="AJ211" s="454"/>
      <c r="AK211" s="454">
        <f t="shared" si="38"/>
        <v>0</v>
      </c>
      <c r="AL211" s="454">
        <f t="shared" si="39"/>
        <v>0</v>
      </c>
      <c r="AM211" s="454">
        <v>1997</v>
      </c>
      <c r="AN211" s="454">
        <v>1720</v>
      </c>
      <c r="AO211" s="454"/>
      <c r="AP211" s="454"/>
      <c r="AQ211" s="452"/>
      <c r="AR211" s="452"/>
      <c r="AS211" s="494">
        <v>1997</v>
      </c>
      <c r="AT211" s="494">
        <v>1720</v>
      </c>
      <c r="AU211" s="495"/>
      <c r="AV211" s="495"/>
      <c r="AW211" s="147"/>
      <c r="AX211" s="119"/>
      <c r="BB211" s="119">
        <v>1</v>
      </c>
      <c r="BC211" s="119">
        <v>6</v>
      </c>
    </row>
    <row r="212" spans="1:55" ht="47.25" x14ac:dyDescent="0.25">
      <c r="A212" s="448" t="s">
        <v>696</v>
      </c>
      <c r="B212" s="449" t="s">
        <v>1068</v>
      </c>
      <c r="C212" s="450" t="s">
        <v>1069</v>
      </c>
      <c r="D212" s="450"/>
      <c r="E212" s="450" t="s">
        <v>1063</v>
      </c>
      <c r="F212" s="450" t="s">
        <v>1070</v>
      </c>
      <c r="G212" s="452">
        <v>2055</v>
      </c>
      <c r="H212" s="452">
        <v>1570</v>
      </c>
      <c r="I212" s="492"/>
      <c r="J212" s="492"/>
      <c r="K212" s="492"/>
      <c r="L212" s="492"/>
      <c r="M212" s="492"/>
      <c r="N212" s="492"/>
      <c r="O212" s="492"/>
      <c r="P212" s="492"/>
      <c r="Q212" s="492"/>
      <c r="R212" s="492"/>
      <c r="S212" s="492"/>
      <c r="T212" s="492"/>
      <c r="U212" s="492"/>
      <c r="V212" s="492"/>
      <c r="W212" s="492"/>
      <c r="X212" s="453">
        <v>1570</v>
      </c>
      <c r="Y212" s="453">
        <v>1570</v>
      </c>
      <c r="Z212" s="453"/>
      <c r="AA212" s="453"/>
      <c r="AB212" s="453"/>
      <c r="AC212" s="452"/>
      <c r="AD212" s="452">
        <v>1570</v>
      </c>
      <c r="AE212" s="452">
        <v>1570</v>
      </c>
      <c r="AF212" s="452"/>
      <c r="AG212" s="452"/>
      <c r="AH212" s="452"/>
      <c r="AI212" s="452"/>
      <c r="AJ212" s="454"/>
      <c r="AK212" s="454">
        <f t="shared" si="38"/>
        <v>0</v>
      </c>
      <c r="AL212" s="454">
        <f t="shared" si="39"/>
        <v>0</v>
      </c>
      <c r="AM212" s="454">
        <v>2055</v>
      </c>
      <c r="AN212" s="454">
        <v>1570</v>
      </c>
      <c r="AO212" s="454"/>
      <c r="AP212" s="454"/>
      <c r="AQ212" s="452"/>
      <c r="AR212" s="452"/>
      <c r="AS212" s="494">
        <v>2055</v>
      </c>
      <c r="AT212" s="494">
        <v>1570</v>
      </c>
      <c r="AU212" s="495"/>
      <c r="AV212" s="495"/>
      <c r="AW212" s="147"/>
      <c r="AX212" s="119"/>
      <c r="BB212" s="119">
        <v>1</v>
      </c>
      <c r="BC212" s="119">
        <v>6</v>
      </c>
    </row>
    <row r="213" spans="1:55" ht="47.25" x14ac:dyDescent="0.25">
      <c r="A213" s="448" t="s">
        <v>700</v>
      </c>
      <c r="B213" s="449" t="s">
        <v>1071</v>
      </c>
      <c r="C213" s="450" t="s">
        <v>1072</v>
      </c>
      <c r="D213" s="450"/>
      <c r="E213" s="450" t="s">
        <v>1063</v>
      </c>
      <c r="F213" s="450" t="s">
        <v>1073</v>
      </c>
      <c r="G213" s="452">
        <v>1000</v>
      </c>
      <c r="H213" s="452">
        <v>700</v>
      </c>
      <c r="I213" s="492"/>
      <c r="J213" s="492"/>
      <c r="K213" s="492"/>
      <c r="L213" s="492"/>
      <c r="M213" s="492"/>
      <c r="N213" s="492"/>
      <c r="O213" s="492"/>
      <c r="P213" s="492"/>
      <c r="Q213" s="492"/>
      <c r="R213" s="492"/>
      <c r="S213" s="492"/>
      <c r="T213" s="492"/>
      <c r="U213" s="492"/>
      <c r="V213" s="492"/>
      <c r="W213" s="492"/>
      <c r="X213" s="453">
        <v>700</v>
      </c>
      <c r="Y213" s="453">
        <v>700</v>
      </c>
      <c r="Z213" s="453"/>
      <c r="AA213" s="453"/>
      <c r="AB213" s="453"/>
      <c r="AC213" s="452"/>
      <c r="AD213" s="452">
        <v>700</v>
      </c>
      <c r="AE213" s="452">
        <v>700</v>
      </c>
      <c r="AF213" s="452"/>
      <c r="AG213" s="452"/>
      <c r="AH213" s="452"/>
      <c r="AI213" s="452"/>
      <c r="AJ213" s="454"/>
      <c r="AK213" s="454">
        <f t="shared" si="38"/>
        <v>0</v>
      </c>
      <c r="AL213" s="454">
        <f t="shared" si="39"/>
        <v>0</v>
      </c>
      <c r="AM213" s="454">
        <v>1000</v>
      </c>
      <c r="AN213" s="454">
        <v>700</v>
      </c>
      <c r="AO213" s="454"/>
      <c r="AP213" s="454"/>
      <c r="AQ213" s="452"/>
      <c r="AR213" s="452"/>
      <c r="AS213" s="494">
        <v>1000</v>
      </c>
      <c r="AT213" s="494">
        <v>700</v>
      </c>
      <c r="AU213" s="495"/>
      <c r="AV213" s="495"/>
      <c r="AW213" s="147"/>
      <c r="AX213" s="119"/>
      <c r="BB213" s="119">
        <v>1</v>
      </c>
      <c r="BC213" s="119">
        <v>6</v>
      </c>
    </row>
    <row r="214" spans="1:55" ht="47.25" x14ac:dyDescent="0.25">
      <c r="A214" s="448" t="s">
        <v>704</v>
      </c>
      <c r="B214" s="449" t="s">
        <v>1074</v>
      </c>
      <c r="C214" s="450" t="s">
        <v>1075</v>
      </c>
      <c r="D214" s="450"/>
      <c r="E214" s="450" t="s">
        <v>1063</v>
      </c>
      <c r="F214" s="450" t="s">
        <v>1076</v>
      </c>
      <c r="G214" s="452">
        <v>247</v>
      </c>
      <c r="H214" s="452">
        <v>210</v>
      </c>
      <c r="I214" s="492"/>
      <c r="J214" s="492"/>
      <c r="K214" s="492"/>
      <c r="L214" s="492"/>
      <c r="M214" s="492"/>
      <c r="N214" s="492"/>
      <c r="O214" s="492"/>
      <c r="P214" s="492"/>
      <c r="Q214" s="492"/>
      <c r="R214" s="492"/>
      <c r="S214" s="492"/>
      <c r="T214" s="492"/>
      <c r="U214" s="492"/>
      <c r="V214" s="492"/>
      <c r="W214" s="492"/>
      <c r="X214" s="453">
        <v>210</v>
      </c>
      <c r="Y214" s="453">
        <v>210</v>
      </c>
      <c r="Z214" s="453"/>
      <c r="AA214" s="453"/>
      <c r="AB214" s="453"/>
      <c r="AC214" s="452"/>
      <c r="AD214" s="452">
        <v>210</v>
      </c>
      <c r="AE214" s="452">
        <v>210</v>
      </c>
      <c r="AF214" s="452"/>
      <c r="AG214" s="452"/>
      <c r="AH214" s="452"/>
      <c r="AI214" s="452"/>
      <c r="AJ214" s="454"/>
      <c r="AK214" s="454">
        <f t="shared" si="38"/>
        <v>0</v>
      </c>
      <c r="AL214" s="454">
        <f t="shared" si="39"/>
        <v>0</v>
      </c>
      <c r="AM214" s="454">
        <v>247</v>
      </c>
      <c r="AN214" s="454">
        <v>210</v>
      </c>
      <c r="AO214" s="454"/>
      <c r="AP214" s="454"/>
      <c r="AQ214" s="452"/>
      <c r="AR214" s="452"/>
      <c r="AS214" s="494">
        <v>247</v>
      </c>
      <c r="AT214" s="494">
        <v>210</v>
      </c>
      <c r="AU214" s="495"/>
      <c r="AV214" s="495"/>
      <c r="AW214" s="147"/>
      <c r="AX214" s="119"/>
      <c r="BB214" s="119">
        <v>1</v>
      </c>
      <c r="BC214" s="119">
        <v>6</v>
      </c>
    </row>
    <row r="215" spans="1:55" ht="47.25" x14ac:dyDescent="0.25">
      <c r="A215" s="448" t="s">
        <v>709</v>
      </c>
      <c r="B215" s="449" t="s">
        <v>1077</v>
      </c>
      <c r="C215" s="450" t="s">
        <v>1075</v>
      </c>
      <c r="D215" s="450"/>
      <c r="E215" s="450" t="s">
        <v>1063</v>
      </c>
      <c r="F215" s="450" t="s">
        <v>1078</v>
      </c>
      <c r="G215" s="452">
        <v>224</v>
      </c>
      <c r="H215" s="452">
        <v>190</v>
      </c>
      <c r="I215" s="492"/>
      <c r="J215" s="492"/>
      <c r="K215" s="492"/>
      <c r="L215" s="492"/>
      <c r="M215" s="492"/>
      <c r="N215" s="492"/>
      <c r="O215" s="492"/>
      <c r="P215" s="492"/>
      <c r="Q215" s="492"/>
      <c r="R215" s="492"/>
      <c r="S215" s="492"/>
      <c r="T215" s="492"/>
      <c r="U215" s="492"/>
      <c r="V215" s="492"/>
      <c r="W215" s="492"/>
      <c r="X215" s="453">
        <v>190</v>
      </c>
      <c r="Y215" s="453">
        <v>190</v>
      </c>
      <c r="Z215" s="453"/>
      <c r="AA215" s="453"/>
      <c r="AB215" s="453"/>
      <c r="AC215" s="452"/>
      <c r="AD215" s="452">
        <v>190</v>
      </c>
      <c r="AE215" s="452">
        <v>190</v>
      </c>
      <c r="AF215" s="452"/>
      <c r="AG215" s="452"/>
      <c r="AH215" s="452"/>
      <c r="AI215" s="452"/>
      <c r="AJ215" s="454"/>
      <c r="AK215" s="454">
        <f t="shared" si="38"/>
        <v>0</v>
      </c>
      <c r="AL215" s="454">
        <f t="shared" si="39"/>
        <v>0</v>
      </c>
      <c r="AM215" s="454">
        <v>224</v>
      </c>
      <c r="AN215" s="454">
        <v>190</v>
      </c>
      <c r="AO215" s="454"/>
      <c r="AP215" s="454"/>
      <c r="AQ215" s="452"/>
      <c r="AR215" s="452"/>
      <c r="AS215" s="494">
        <v>224</v>
      </c>
      <c r="AT215" s="494">
        <v>190</v>
      </c>
      <c r="AU215" s="495"/>
      <c r="AV215" s="495"/>
      <c r="AW215" s="147"/>
      <c r="AX215" s="119"/>
      <c r="BB215" s="119">
        <v>1</v>
      </c>
      <c r="BC215" s="119">
        <v>6</v>
      </c>
    </row>
    <row r="216" spans="1:55" ht="94.5" x14ac:dyDescent="0.25">
      <c r="A216" s="448" t="s">
        <v>714</v>
      </c>
      <c r="B216" s="449" t="s">
        <v>1079</v>
      </c>
      <c r="C216" s="450" t="s">
        <v>1080</v>
      </c>
      <c r="D216" s="450"/>
      <c r="E216" s="450" t="s">
        <v>1063</v>
      </c>
      <c r="F216" s="450" t="s">
        <v>1081</v>
      </c>
      <c r="G216" s="452">
        <v>571</v>
      </c>
      <c r="H216" s="452">
        <v>240</v>
      </c>
      <c r="I216" s="492"/>
      <c r="J216" s="492"/>
      <c r="K216" s="492"/>
      <c r="L216" s="492"/>
      <c r="M216" s="492"/>
      <c r="N216" s="492"/>
      <c r="O216" s="492"/>
      <c r="P216" s="492"/>
      <c r="Q216" s="492"/>
      <c r="R216" s="492"/>
      <c r="S216" s="492"/>
      <c r="T216" s="492"/>
      <c r="U216" s="492"/>
      <c r="V216" s="492"/>
      <c r="W216" s="492"/>
      <c r="X216" s="453">
        <v>240</v>
      </c>
      <c r="Y216" s="453">
        <v>240</v>
      </c>
      <c r="Z216" s="453"/>
      <c r="AA216" s="453"/>
      <c r="AB216" s="453"/>
      <c r="AC216" s="452"/>
      <c r="AD216" s="452">
        <v>400</v>
      </c>
      <c r="AE216" s="452">
        <v>240</v>
      </c>
      <c r="AF216" s="452"/>
      <c r="AG216" s="452"/>
      <c r="AH216" s="452"/>
      <c r="AI216" s="452"/>
      <c r="AJ216" s="454"/>
      <c r="AK216" s="454">
        <f t="shared" si="38"/>
        <v>0</v>
      </c>
      <c r="AL216" s="454">
        <f t="shared" si="39"/>
        <v>0</v>
      </c>
      <c r="AM216" s="529">
        <v>240</v>
      </c>
      <c r="AN216" s="529">
        <v>240</v>
      </c>
      <c r="AO216" s="454"/>
      <c r="AP216" s="454"/>
      <c r="AQ216" s="452"/>
      <c r="AR216" s="452"/>
      <c r="AS216" s="530">
        <v>480</v>
      </c>
      <c r="AT216" s="530">
        <v>240</v>
      </c>
      <c r="AU216" s="495"/>
      <c r="AV216" s="495"/>
      <c r="AW216" s="147"/>
      <c r="AX216" s="119"/>
      <c r="BB216" s="119">
        <v>1</v>
      </c>
      <c r="BC216" s="119">
        <v>6</v>
      </c>
    </row>
    <row r="217" spans="1:55" ht="31.5" x14ac:dyDescent="0.25">
      <c r="A217" s="448" t="s">
        <v>717</v>
      </c>
      <c r="B217" s="449" t="s">
        <v>1082</v>
      </c>
      <c r="C217" s="450" t="s">
        <v>1083</v>
      </c>
      <c r="D217" s="450"/>
      <c r="E217" s="450" t="s">
        <v>1084</v>
      </c>
      <c r="F217" s="450"/>
      <c r="G217" s="452"/>
      <c r="H217" s="452"/>
      <c r="I217" s="492"/>
      <c r="J217" s="492"/>
      <c r="K217" s="492"/>
      <c r="L217" s="492"/>
      <c r="M217" s="492"/>
      <c r="N217" s="492"/>
      <c r="O217" s="492"/>
      <c r="P217" s="492"/>
      <c r="Q217" s="492"/>
      <c r="R217" s="492"/>
      <c r="S217" s="492"/>
      <c r="T217" s="492"/>
      <c r="U217" s="492"/>
      <c r="V217" s="492"/>
      <c r="W217" s="492"/>
      <c r="X217" s="453">
        <v>967</v>
      </c>
      <c r="Y217" s="453">
        <v>870</v>
      </c>
      <c r="Z217" s="453"/>
      <c r="AA217" s="453"/>
      <c r="AB217" s="453"/>
      <c r="AC217" s="452"/>
      <c r="AD217" s="452"/>
      <c r="AE217" s="452"/>
      <c r="AF217" s="452"/>
      <c r="AG217" s="452"/>
      <c r="AH217" s="452">
        <v>870</v>
      </c>
      <c r="AI217" s="452">
        <v>870</v>
      </c>
      <c r="AJ217" s="454"/>
      <c r="AK217" s="454">
        <f t="shared" si="38"/>
        <v>0</v>
      </c>
      <c r="AL217" s="454">
        <f t="shared" si="39"/>
        <v>0</v>
      </c>
      <c r="AM217" s="529">
        <v>967</v>
      </c>
      <c r="AN217" s="531">
        <v>870</v>
      </c>
      <c r="AO217" s="454"/>
      <c r="AP217" s="454"/>
      <c r="AQ217" s="452"/>
      <c r="AR217" s="452"/>
      <c r="AS217" s="530">
        <v>967</v>
      </c>
      <c r="AT217" s="532">
        <v>870</v>
      </c>
      <c r="AU217" s="495"/>
      <c r="AV217" s="495"/>
      <c r="AW217" s="147"/>
      <c r="AX217" s="119"/>
      <c r="BB217" s="119">
        <v>1</v>
      </c>
      <c r="BC217" s="119">
        <v>6</v>
      </c>
    </row>
    <row r="218" spans="1:55" ht="31.5" x14ac:dyDescent="0.25">
      <c r="A218" s="448" t="s">
        <v>721</v>
      </c>
      <c r="B218" s="449" t="s">
        <v>1085</v>
      </c>
      <c r="C218" s="450" t="s">
        <v>1080</v>
      </c>
      <c r="D218" s="450"/>
      <c r="E218" s="450" t="s">
        <v>1084</v>
      </c>
      <c r="F218" s="450"/>
      <c r="G218" s="452"/>
      <c r="H218" s="452"/>
      <c r="I218" s="492"/>
      <c r="J218" s="492"/>
      <c r="K218" s="492"/>
      <c r="L218" s="492"/>
      <c r="M218" s="492"/>
      <c r="N218" s="492"/>
      <c r="O218" s="492"/>
      <c r="P218" s="492"/>
      <c r="Q218" s="492"/>
      <c r="R218" s="492"/>
      <c r="S218" s="492"/>
      <c r="T218" s="492"/>
      <c r="U218" s="492"/>
      <c r="V218" s="492"/>
      <c r="W218" s="492"/>
      <c r="X218" s="453">
        <v>622</v>
      </c>
      <c r="Y218" s="453">
        <v>560</v>
      </c>
      <c r="Z218" s="453"/>
      <c r="AA218" s="453"/>
      <c r="AB218" s="453"/>
      <c r="AC218" s="452"/>
      <c r="AD218" s="452"/>
      <c r="AE218" s="452"/>
      <c r="AF218" s="452"/>
      <c r="AG218" s="452"/>
      <c r="AH218" s="452">
        <v>560</v>
      </c>
      <c r="AI218" s="452">
        <v>560</v>
      </c>
      <c r="AJ218" s="454"/>
      <c r="AK218" s="454">
        <f t="shared" si="38"/>
        <v>0</v>
      </c>
      <c r="AL218" s="454">
        <f t="shared" si="39"/>
        <v>0</v>
      </c>
      <c r="AM218" s="454">
        <v>622</v>
      </c>
      <c r="AN218" s="454">
        <v>560</v>
      </c>
      <c r="AO218" s="454"/>
      <c r="AP218" s="454"/>
      <c r="AQ218" s="452"/>
      <c r="AR218" s="452"/>
      <c r="AS218" s="494">
        <v>622</v>
      </c>
      <c r="AT218" s="494">
        <v>560</v>
      </c>
      <c r="AU218" s="495"/>
      <c r="AV218" s="495"/>
      <c r="AW218" s="147"/>
      <c r="AX218" s="119"/>
      <c r="BB218" s="119">
        <v>1</v>
      </c>
      <c r="BC218" s="119">
        <v>6</v>
      </c>
    </row>
    <row r="219" spans="1:55" ht="31.5" x14ac:dyDescent="0.25">
      <c r="A219" s="448" t="s">
        <v>768</v>
      </c>
      <c r="B219" s="449" t="s">
        <v>1086</v>
      </c>
      <c r="C219" s="450" t="s">
        <v>1087</v>
      </c>
      <c r="D219" s="450"/>
      <c r="E219" s="450" t="s">
        <v>1084</v>
      </c>
      <c r="F219" s="450"/>
      <c r="G219" s="452"/>
      <c r="H219" s="452"/>
      <c r="I219" s="492"/>
      <c r="J219" s="492"/>
      <c r="K219" s="492"/>
      <c r="L219" s="492"/>
      <c r="M219" s="492"/>
      <c r="N219" s="492"/>
      <c r="O219" s="492"/>
      <c r="P219" s="492"/>
      <c r="Q219" s="492"/>
      <c r="R219" s="492"/>
      <c r="S219" s="492"/>
      <c r="T219" s="492"/>
      <c r="U219" s="492"/>
      <c r="V219" s="492"/>
      <c r="W219" s="492"/>
      <c r="X219" s="453">
        <v>2000</v>
      </c>
      <c r="Y219" s="453">
        <v>1800</v>
      </c>
      <c r="Z219" s="453"/>
      <c r="AA219" s="453"/>
      <c r="AB219" s="453"/>
      <c r="AC219" s="452"/>
      <c r="AD219" s="452"/>
      <c r="AE219" s="452"/>
      <c r="AF219" s="452"/>
      <c r="AG219" s="452"/>
      <c r="AH219" s="452">
        <v>1077.7049999999999</v>
      </c>
      <c r="AI219" s="452">
        <v>1077.7049999999999</v>
      </c>
      <c r="AJ219" s="454"/>
      <c r="AK219" s="454">
        <f t="shared" si="38"/>
        <v>0</v>
      </c>
      <c r="AL219" s="454">
        <f t="shared" si="39"/>
        <v>0</v>
      </c>
      <c r="AM219" s="454">
        <v>2000</v>
      </c>
      <c r="AN219" s="454">
        <v>1800</v>
      </c>
      <c r="AO219" s="454"/>
      <c r="AP219" s="454"/>
      <c r="AQ219" s="452"/>
      <c r="AR219" s="452"/>
      <c r="AS219" s="494">
        <v>2000</v>
      </c>
      <c r="AT219" s="494">
        <v>1800</v>
      </c>
      <c r="AU219" s="495"/>
      <c r="AV219" s="495"/>
      <c r="AW219" s="147"/>
      <c r="AX219" s="119"/>
      <c r="BB219" s="119">
        <v>1</v>
      </c>
      <c r="BC219" s="119">
        <v>6</v>
      </c>
    </row>
    <row r="220" spans="1:55" ht="47.25" x14ac:dyDescent="0.25">
      <c r="A220" s="448" t="s">
        <v>771</v>
      </c>
      <c r="B220" s="449" t="s">
        <v>1088</v>
      </c>
      <c r="C220" s="450" t="s">
        <v>1089</v>
      </c>
      <c r="D220" s="450"/>
      <c r="E220" s="450" t="s">
        <v>1084</v>
      </c>
      <c r="F220" s="450"/>
      <c r="G220" s="452"/>
      <c r="H220" s="452"/>
      <c r="I220" s="492"/>
      <c r="J220" s="492"/>
      <c r="K220" s="492"/>
      <c r="L220" s="492"/>
      <c r="M220" s="492"/>
      <c r="N220" s="492"/>
      <c r="O220" s="492"/>
      <c r="P220" s="492"/>
      <c r="Q220" s="492"/>
      <c r="R220" s="492"/>
      <c r="S220" s="492"/>
      <c r="T220" s="492"/>
      <c r="U220" s="492"/>
      <c r="V220" s="492"/>
      <c r="W220" s="492"/>
      <c r="X220" s="453">
        <v>1933</v>
      </c>
      <c r="Y220" s="453">
        <v>1740</v>
      </c>
      <c r="Z220" s="453"/>
      <c r="AA220" s="453"/>
      <c r="AB220" s="453"/>
      <c r="AC220" s="452"/>
      <c r="AD220" s="452"/>
      <c r="AE220" s="452"/>
      <c r="AF220" s="452"/>
      <c r="AG220" s="452"/>
      <c r="AH220" s="452">
        <v>1252.004508</v>
      </c>
      <c r="AI220" s="452">
        <v>1252.004508</v>
      </c>
      <c r="AJ220" s="454"/>
      <c r="AK220" s="454">
        <f t="shared" si="38"/>
        <v>0</v>
      </c>
      <c r="AL220" s="454">
        <f t="shared" si="39"/>
        <v>0</v>
      </c>
      <c r="AM220" s="454">
        <v>1933</v>
      </c>
      <c r="AN220" s="454">
        <v>1740</v>
      </c>
      <c r="AO220" s="454"/>
      <c r="AP220" s="454"/>
      <c r="AQ220" s="452"/>
      <c r="AR220" s="452"/>
      <c r="AS220" s="494">
        <v>1933</v>
      </c>
      <c r="AT220" s="494">
        <v>1740</v>
      </c>
      <c r="AU220" s="495"/>
      <c r="AV220" s="495"/>
      <c r="AW220" s="147"/>
      <c r="AX220" s="119"/>
      <c r="BB220" s="119">
        <v>1</v>
      </c>
      <c r="BC220" s="119">
        <v>6</v>
      </c>
    </row>
    <row r="221" spans="1:55" ht="63" x14ac:dyDescent="0.25">
      <c r="A221" s="448" t="s">
        <v>774</v>
      </c>
      <c r="B221" s="449" t="s">
        <v>1090</v>
      </c>
      <c r="C221" s="450" t="s">
        <v>1091</v>
      </c>
      <c r="D221" s="450"/>
      <c r="E221" s="450" t="s">
        <v>1084</v>
      </c>
      <c r="F221" s="450"/>
      <c r="G221" s="452"/>
      <c r="H221" s="452"/>
      <c r="I221" s="492"/>
      <c r="J221" s="492"/>
      <c r="K221" s="492"/>
      <c r="L221" s="492"/>
      <c r="M221" s="492"/>
      <c r="N221" s="492"/>
      <c r="O221" s="492"/>
      <c r="P221" s="492"/>
      <c r="Q221" s="492"/>
      <c r="R221" s="492"/>
      <c r="S221" s="492"/>
      <c r="T221" s="492"/>
      <c r="U221" s="492"/>
      <c r="V221" s="492"/>
      <c r="W221" s="492"/>
      <c r="X221" s="453">
        <v>1939</v>
      </c>
      <c r="Y221" s="453">
        <v>1745</v>
      </c>
      <c r="Z221" s="453"/>
      <c r="AA221" s="453"/>
      <c r="AB221" s="453"/>
      <c r="AC221" s="452"/>
      <c r="AD221" s="452"/>
      <c r="AE221" s="452"/>
      <c r="AF221" s="452"/>
      <c r="AG221" s="452"/>
      <c r="AH221" s="452">
        <v>1230</v>
      </c>
      <c r="AI221" s="452">
        <v>1230</v>
      </c>
      <c r="AJ221" s="454"/>
      <c r="AK221" s="454">
        <f t="shared" si="38"/>
        <v>0</v>
      </c>
      <c r="AL221" s="454">
        <f t="shared" si="39"/>
        <v>0</v>
      </c>
      <c r="AM221" s="454">
        <v>1939</v>
      </c>
      <c r="AN221" s="454">
        <v>1745</v>
      </c>
      <c r="AO221" s="454"/>
      <c r="AP221" s="454"/>
      <c r="AQ221" s="452"/>
      <c r="AR221" s="452"/>
      <c r="AS221" s="494">
        <v>1939</v>
      </c>
      <c r="AT221" s="494">
        <v>1745</v>
      </c>
      <c r="AU221" s="495"/>
      <c r="AV221" s="495"/>
      <c r="AW221" s="147"/>
      <c r="AX221" s="119"/>
      <c r="BB221" s="119">
        <v>1</v>
      </c>
      <c r="BC221" s="119">
        <v>6</v>
      </c>
    </row>
    <row r="222" spans="1:55" ht="47.25" x14ac:dyDescent="0.25">
      <c r="A222" s="448" t="s">
        <v>777</v>
      </c>
      <c r="B222" s="449" t="s">
        <v>1092</v>
      </c>
      <c r="C222" s="450" t="s">
        <v>1093</v>
      </c>
      <c r="D222" s="450"/>
      <c r="E222" s="450" t="s">
        <v>1084</v>
      </c>
      <c r="F222" s="450"/>
      <c r="G222" s="452"/>
      <c r="H222" s="452"/>
      <c r="I222" s="492"/>
      <c r="J222" s="492"/>
      <c r="K222" s="492"/>
      <c r="L222" s="492"/>
      <c r="M222" s="492"/>
      <c r="N222" s="492"/>
      <c r="O222" s="492"/>
      <c r="P222" s="492"/>
      <c r="Q222" s="492"/>
      <c r="R222" s="492"/>
      <c r="S222" s="492"/>
      <c r="T222" s="492"/>
      <c r="U222" s="492"/>
      <c r="V222" s="492"/>
      <c r="W222" s="492"/>
      <c r="X222" s="453">
        <v>278</v>
      </c>
      <c r="Y222" s="453">
        <v>250</v>
      </c>
      <c r="Z222" s="453"/>
      <c r="AA222" s="453"/>
      <c r="AB222" s="453"/>
      <c r="AC222" s="452"/>
      <c r="AD222" s="452"/>
      <c r="AE222" s="452"/>
      <c r="AF222" s="452"/>
      <c r="AG222" s="452"/>
      <c r="AH222" s="452">
        <v>250</v>
      </c>
      <c r="AI222" s="452">
        <v>250</v>
      </c>
      <c r="AJ222" s="454"/>
      <c r="AK222" s="454">
        <f t="shared" si="38"/>
        <v>0</v>
      </c>
      <c r="AL222" s="454">
        <f t="shared" si="39"/>
        <v>0</v>
      </c>
      <c r="AM222" s="529">
        <v>278</v>
      </c>
      <c r="AN222" s="531">
        <v>250</v>
      </c>
      <c r="AO222" s="454"/>
      <c r="AP222" s="454"/>
      <c r="AQ222" s="452"/>
      <c r="AR222" s="452"/>
      <c r="AS222" s="530">
        <v>278</v>
      </c>
      <c r="AT222" s="532">
        <v>250</v>
      </c>
      <c r="AU222" s="495"/>
      <c r="AV222" s="495"/>
      <c r="AW222" s="147"/>
      <c r="AX222" s="119"/>
      <c r="BB222" s="119">
        <v>1</v>
      </c>
      <c r="BC222" s="119">
        <v>6</v>
      </c>
    </row>
    <row r="223" spans="1:55" ht="31.5" x14ac:dyDescent="0.25">
      <c r="A223" s="448" t="s">
        <v>781</v>
      </c>
      <c r="B223" s="449" t="s">
        <v>1094</v>
      </c>
      <c r="C223" s="450" t="s">
        <v>1095</v>
      </c>
      <c r="D223" s="450"/>
      <c r="E223" s="450" t="s">
        <v>1084</v>
      </c>
      <c r="F223" s="450"/>
      <c r="G223" s="452"/>
      <c r="H223" s="452"/>
      <c r="I223" s="492"/>
      <c r="J223" s="492"/>
      <c r="K223" s="492"/>
      <c r="L223" s="492"/>
      <c r="M223" s="492"/>
      <c r="N223" s="492"/>
      <c r="O223" s="492"/>
      <c r="P223" s="492"/>
      <c r="Q223" s="492"/>
      <c r="R223" s="492"/>
      <c r="S223" s="492"/>
      <c r="T223" s="492"/>
      <c r="U223" s="492"/>
      <c r="V223" s="492"/>
      <c r="W223" s="492"/>
      <c r="X223" s="453">
        <v>2222</v>
      </c>
      <c r="Y223" s="453">
        <v>2000</v>
      </c>
      <c r="Z223" s="453"/>
      <c r="AA223" s="453"/>
      <c r="AB223" s="453"/>
      <c r="AC223" s="452"/>
      <c r="AD223" s="452"/>
      <c r="AE223" s="452"/>
      <c r="AF223" s="452"/>
      <c r="AG223" s="452"/>
      <c r="AH223" s="452">
        <v>1223</v>
      </c>
      <c r="AI223" s="452">
        <v>1223</v>
      </c>
      <c r="AJ223" s="454"/>
      <c r="AK223" s="454">
        <f t="shared" si="38"/>
        <v>0</v>
      </c>
      <c r="AL223" s="454">
        <f t="shared" si="39"/>
        <v>0</v>
      </c>
      <c r="AM223" s="454">
        <v>2222</v>
      </c>
      <c r="AN223" s="454">
        <v>2000</v>
      </c>
      <c r="AO223" s="454"/>
      <c r="AP223" s="454"/>
      <c r="AQ223" s="452"/>
      <c r="AR223" s="452"/>
      <c r="AS223" s="494">
        <v>2222</v>
      </c>
      <c r="AT223" s="494">
        <v>2000</v>
      </c>
      <c r="AU223" s="495"/>
      <c r="AV223" s="495"/>
      <c r="AW223" s="147"/>
      <c r="AX223" s="119"/>
      <c r="BB223" s="119">
        <v>1</v>
      </c>
      <c r="BC223" s="119">
        <v>6</v>
      </c>
    </row>
    <row r="224" spans="1:55" ht="31.5" x14ac:dyDescent="0.25">
      <c r="A224" s="448" t="s">
        <v>784</v>
      </c>
      <c r="B224" s="449" t="s">
        <v>1096</v>
      </c>
      <c r="C224" s="450" t="s">
        <v>1097</v>
      </c>
      <c r="D224" s="450"/>
      <c r="E224" s="450" t="s">
        <v>1084</v>
      </c>
      <c r="F224" s="450"/>
      <c r="G224" s="452"/>
      <c r="H224" s="452"/>
      <c r="I224" s="492"/>
      <c r="J224" s="492"/>
      <c r="K224" s="492"/>
      <c r="L224" s="492"/>
      <c r="M224" s="492"/>
      <c r="N224" s="492"/>
      <c r="O224" s="492"/>
      <c r="P224" s="492"/>
      <c r="Q224" s="492"/>
      <c r="R224" s="492"/>
      <c r="S224" s="492"/>
      <c r="T224" s="492"/>
      <c r="U224" s="492"/>
      <c r="V224" s="492"/>
      <c r="W224" s="492"/>
      <c r="X224" s="453">
        <v>967</v>
      </c>
      <c r="Y224" s="453">
        <v>870</v>
      </c>
      <c r="Z224" s="453"/>
      <c r="AA224" s="453"/>
      <c r="AB224" s="453"/>
      <c r="AC224" s="452"/>
      <c r="AD224" s="452"/>
      <c r="AE224" s="452"/>
      <c r="AF224" s="452"/>
      <c r="AG224" s="452"/>
      <c r="AH224" s="452">
        <v>870</v>
      </c>
      <c r="AI224" s="452">
        <v>870</v>
      </c>
      <c r="AJ224" s="454"/>
      <c r="AK224" s="454">
        <f t="shared" si="38"/>
        <v>0</v>
      </c>
      <c r="AL224" s="454">
        <f t="shared" si="39"/>
        <v>0</v>
      </c>
      <c r="AM224" s="454">
        <v>967</v>
      </c>
      <c r="AN224" s="454">
        <v>870</v>
      </c>
      <c r="AO224" s="454"/>
      <c r="AP224" s="454"/>
      <c r="AQ224" s="452"/>
      <c r="AR224" s="452"/>
      <c r="AS224" s="494">
        <v>967</v>
      </c>
      <c r="AT224" s="494">
        <v>870</v>
      </c>
      <c r="AU224" s="495"/>
      <c r="AV224" s="495"/>
      <c r="AW224" s="147"/>
      <c r="AX224" s="119"/>
      <c r="BB224" s="119">
        <v>1</v>
      </c>
      <c r="BC224" s="119">
        <v>6</v>
      </c>
    </row>
    <row r="225" spans="1:55" ht="31.5" x14ac:dyDescent="0.25">
      <c r="A225" s="448" t="s">
        <v>787</v>
      </c>
      <c r="B225" s="449" t="s">
        <v>1098</v>
      </c>
      <c r="C225" s="450" t="s">
        <v>1099</v>
      </c>
      <c r="D225" s="450"/>
      <c r="E225" s="450" t="s">
        <v>1084</v>
      </c>
      <c r="F225" s="450"/>
      <c r="G225" s="452"/>
      <c r="H225" s="452"/>
      <c r="I225" s="492"/>
      <c r="J225" s="492"/>
      <c r="K225" s="492"/>
      <c r="L225" s="492"/>
      <c r="M225" s="492"/>
      <c r="N225" s="492"/>
      <c r="O225" s="492"/>
      <c r="P225" s="492"/>
      <c r="Q225" s="492"/>
      <c r="R225" s="492"/>
      <c r="S225" s="492"/>
      <c r="T225" s="492"/>
      <c r="U225" s="492"/>
      <c r="V225" s="492"/>
      <c r="W225" s="492"/>
      <c r="X225" s="453">
        <v>967</v>
      </c>
      <c r="Y225" s="453">
        <v>870</v>
      </c>
      <c r="Z225" s="453"/>
      <c r="AA225" s="453"/>
      <c r="AB225" s="453"/>
      <c r="AC225" s="452"/>
      <c r="AD225" s="452"/>
      <c r="AE225" s="452"/>
      <c r="AF225" s="452"/>
      <c r="AG225" s="452"/>
      <c r="AH225" s="452">
        <v>870</v>
      </c>
      <c r="AI225" s="452">
        <v>870</v>
      </c>
      <c r="AJ225" s="454"/>
      <c r="AK225" s="454">
        <f t="shared" si="38"/>
        <v>0</v>
      </c>
      <c r="AL225" s="454">
        <f t="shared" si="39"/>
        <v>0</v>
      </c>
      <c r="AM225" s="454">
        <v>967</v>
      </c>
      <c r="AN225" s="454">
        <v>870</v>
      </c>
      <c r="AO225" s="454"/>
      <c r="AP225" s="454"/>
      <c r="AQ225" s="452"/>
      <c r="AR225" s="452"/>
      <c r="AS225" s="494">
        <v>967</v>
      </c>
      <c r="AT225" s="494">
        <v>870</v>
      </c>
      <c r="AU225" s="495"/>
      <c r="AV225" s="495"/>
      <c r="AW225" s="147"/>
      <c r="AX225" s="119"/>
      <c r="BB225" s="119">
        <v>1</v>
      </c>
      <c r="BC225" s="119">
        <v>6</v>
      </c>
    </row>
    <row r="226" spans="1:55" ht="31.5" x14ac:dyDescent="0.25">
      <c r="A226" s="448" t="s">
        <v>791</v>
      </c>
      <c r="B226" s="449" t="s">
        <v>1100</v>
      </c>
      <c r="C226" s="450" t="s">
        <v>1101</v>
      </c>
      <c r="D226" s="450"/>
      <c r="E226" s="450" t="s">
        <v>1084</v>
      </c>
      <c r="F226" s="450"/>
      <c r="G226" s="452"/>
      <c r="H226" s="452"/>
      <c r="I226" s="492"/>
      <c r="J226" s="492"/>
      <c r="K226" s="492"/>
      <c r="L226" s="492"/>
      <c r="M226" s="492"/>
      <c r="N226" s="492"/>
      <c r="O226" s="492"/>
      <c r="P226" s="492"/>
      <c r="Q226" s="492"/>
      <c r="R226" s="492"/>
      <c r="S226" s="492"/>
      <c r="T226" s="492"/>
      <c r="U226" s="492"/>
      <c r="V226" s="492"/>
      <c r="W226" s="492"/>
      <c r="X226" s="453">
        <v>967</v>
      </c>
      <c r="Y226" s="453">
        <v>870</v>
      </c>
      <c r="Z226" s="453"/>
      <c r="AA226" s="453"/>
      <c r="AB226" s="453"/>
      <c r="AC226" s="452"/>
      <c r="AD226" s="452"/>
      <c r="AE226" s="452"/>
      <c r="AF226" s="452"/>
      <c r="AG226" s="452"/>
      <c r="AH226" s="452">
        <v>870</v>
      </c>
      <c r="AI226" s="452">
        <v>870</v>
      </c>
      <c r="AJ226" s="454"/>
      <c r="AK226" s="454">
        <f t="shared" si="38"/>
        <v>0</v>
      </c>
      <c r="AL226" s="454">
        <f t="shared" si="39"/>
        <v>0</v>
      </c>
      <c r="AM226" s="454">
        <v>967</v>
      </c>
      <c r="AN226" s="454">
        <v>870</v>
      </c>
      <c r="AO226" s="454"/>
      <c r="AP226" s="454"/>
      <c r="AQ226" s="452"/>
      <c r="AR226" s="452"/>
      <c r="AS226" s="494">
        <v>967</v>
      </c>
      <c r="AT226" s="494">
        <v>870</v>
      </c>
      <c r="AU226" s="495"/>
      <c r="AV226" s="495"/>
      <c r="AW226" s="147"/>
      <c r="AX226" s="119"/>
      <c r="BB226" s="119">
        <v>1</v>
      </c>
      <c r="BC226" s="119">
        <v>6</v>
      </c>
    </row>
    <row r="227" spans="1:55" ht="47.25" x14ac:dyDescent="0.25">
      <c r="A227" s="448" t="s">
        <v>795</v>
      </c>
      <c r="B227" s="449" t="s">
        <v>1102</v>
      </c>
      <c r="C227" s="450" t="s">
        <v>1103</v>
      </c>
      <c r="D227" s="450"/>
      <c r="E227" s="450" t="s">
        <v>1084</v>
      </c>
      <c r="F227" s="450"/>
      <c r="G227" s="452"/>
      <c r="H227" s="452"/>
      <c r="I227" s="492"/>
      <c r="J227" s="492"/>
      <c r="K227" s="492"/>
      <c r="L227" s="492"/>
      <c r="M227" s="492"/>
      <c r="N227" s="492"/>
      <c r="O227" s="492"/>
      <c r="P227" s="492"/>
      <c r="Q227" s="492"/>
      <c r="R227" s="492"/>
      <c r="S227" s="492"/>
      <c r="T227" s="492"/>
      <c r="U227" s="492"/>
      <c r="V227" s="492"/>
      <c r="W227" s="492"/>
      <c r="X227" s="453">
        <v>967</v>
      </c>
      <c r="Y227" s="453">
        <v>870</v>
      </c>
      <c r="Z227" s="453"/>
      <c r="AA227" s="453"/>
      <c r="AB227" s="453"/>
      <c r="AC227" s="452"/>
      <c r="AD227" s="452"/>
      <c r="AE227" s="452"/>
      <c r="AF227" s="452"/>
      <c r="AG227" s="452"/>
      <c r="AH227" s="452">
        <v>870</v>
      </c>
      <c r="AI227" s="452">
        <v>870</v>
      </c>
      <c r="AJ227" s="454"/>
      <c r="AK227" s="454">
        <f t="shared" si="38"/>
        <v>0</v>
      </c>
      <c r="AL227" s="454">
        <f t="shared" si="39"/>
        <v>0</v>
      </c>
      <c r="AM227" s="454">
        <v>967</v>
      </c>
      <c r="AN227" s="454">
        <v>870</v>
      </c>
      <c r="AO227" s="454"/>
      <c r="AP227" s="454"/>
      <c r="AQ227" s="452"/>
      <c r="AR227" s="452"/>
      <c r="AS227" s="494">
        <v>967</v>
      </c>
      <c r="AT227" s="494">
        <v>870</v>
      </c>
      <c r="AU227" s="495"/>
      <c r="AV227" s="495"/>
      <c r="AW227" s="147"/>
      <c r="AX227" s="119"/>
      <c r="BB227" s="119">
        <v>1</v>
      </c>
      <c r="BC227" s="119">
        <v>6</v>
      </c>
    </row>
    <row r="228" spans="1:55" ht="47.25" x14ac:dyDescent="0.25">
      <c r="A228" s="448" t="s">
        <v>798</v>
      </c>
      <c r="B228" s="449" t="s">
        <v>1104</v>
      </c>
      <c r="C228" s="450" t="s">
        <v>1105</v>
      </c>
      <c r="D228" s="450"/>
      <c r="E228" s="450" t="s">
        <v>1084</v>
      </c>
      <c r="F228" s="450"/>
      <c r="G228" s="452"/>
      <c r="H228" s="452"/>
      <c r="I228" s="492"/>
      <c r="J228" s="492"/>
      <c r="K228" s="492"/>
      <c r="L228" s="492"/>
      <c r="M228" s="492"/>
      <c r="N228" s="492"/>
      <c r="O228" s="492"/>
      <c r="P228" s="492"/>
      <c r="Q228" s="492"/>
      <c r="R228" s="492"/>
      <c r="S228" s="492"/>
      <c r="T228" s="492"/>
      <c r="U228" s="492"/>
      <c r="V228" s="492"/>
      <c r="W228" s="492"/>
      <c r="X228" s="453">
        <v>967</v>
      </c>
      <c r="Y228" s="453">
        <v>870</v>
      </c>
      <c r="Z228" s="453"/>
      <c r="AA228" s="453"/>
      <c r="AB228" s="453"/>
      <c r="AC228" s="452"/>
      <c r="AD228" s="452"/>
      <c r="AE228" s="452"/>
      <c r="AF228" s="452"/>
      <c r="AG228" s="452"/>
      <c r="AH228" s="452">
        <v>870</v>
      </c>
      <c r="AI228" s="452">
        <v>870</v>
      </c>
      <c r="AJ228" s="454"/>
      <c r="AK228" s="454">
        <f t="shared" si="38"/>
        <v>0</v>
      </c>
      <c r="AL228" s="454">
        <f t="shared" si="39"/>
        <v>0</v>
      </c>
      <c r="AM228" s="454">
        <v>967</v>
      </c>
      <c r="AN228" s="454">
        <v>870</v>
      </c>
      <c r="AO228" s="454"/>
      <c r="AP228" s="454"/>
      <c r="AQ228" s="452"/>
      <c r="AR228" s="452"/>
      <c r="AS228" s="494">
        <v>967</v>
      </c>
      <c r="AT228" s="494">
        <v>870</v>
      </c>
      <c r="AU228" s="495"/>
      <c r="AV228" s="495"/>
      <c r="AW228" s="147"/>
      <c r="AX228" s="119"/>
      <c r="BB228" s="119">
        <v>1</v>
      </c>
      <c r="BC228" s="119">
        <v>6</v>
      </c>
    </row>
    <row r="229" spans="1:55" ht="31.5" x14ac:dyDescent="0.25">
      <c r="A229" s="448" t="s">
        <v>801</v>
      </c>
      <c r="B229" s="449" t="s">
        <v>1106</v>
      </c>
      <c r="C229" s="450" t="s">
        <v>1075</v>
      </c>
      <c r="D229" s="450"/>
      <c r="E229" s="450" t="s">
        <v>1084</v>
      </c>
      <c r="F229" s="450"/>
      <c r="G229" s="452"/>
      <c r="H229" s="452"/>
      <c r="I229" s="492"/>
      <c r="J229" s="492"/>
      <c r="K229" s="492"/>
      <c r="L229" s="492"/>
      <c r="M229" s="492"/>
      <c r="N229" s="492"/>
      <c r="O229" s="492"/>
      <c r="P229" s="492"/>
      <c r="Q229" s="492"/>
      <c r="R229" s="492"/>
      <c r="S229" s="492"/>
      <c r="T229" s="492"/>
      <c r="U229" s="492"/>
      <c r="V229" s="492"/>
      <c r="W229" s="492"/>
      <c r="X229" s="453">
        <v>667</v>
      </c>
      <c r="Y229" s="453">
        <v>600</v>
      </c>
      <c r="Z229" s="453"/>
      <c r="AA229" s="453"/>
      <c r="AB229" s="453"/>
      <c r="AC229" s="452"/>
      <c r="AD229" s="452"/>
      <c r="AE229" s="452"/>
      <c r="AF229" s="452"/>
      <c r="AG229" s="452"/>
      <c r="AH229" s="452">
        <v>600</v>
      </c>
      <c r="AI229" s="452">
        <v>600</v>
      </c>
      <c r="AJ229" s="454"/>
      <c r="AK229" s="454">
        <f t="shared" si="38"/>
        <v>0</v>
      </c>
      <c r="AL229" s="454">
        <f t="shared" si="39"/>
        <v>0</v>
      </c>
      <c r="AM229" s="454">
        <v>667</v>
      </c>
      <c r="AN229" s="454">
        <v>600</v>
      </c>
      <c r="AO229" s="454"/>
      <c r="AP229" s="454"/>
      <c r="AQ229" s="452"/>
      <c r="AR229" s="452"/>
      <c r="AS229" s="494">
        <v>667</v>
      </c>
      <c r="AT229" s="494">
        <v>600</v>
      </c>
      <c r="AU229" s="495"/>
      <c r="AV229" s="495"/>
      <c r="AW229" s="147"/>
      <c r="AX229" s="119"/>
      <c r="BB229" s="119">
        <v>1</v>
      </c>
      <c r="BC229" s="119">
        <v>6</v>
      </c>
    </row>
    <row r="230" spans="1:55" ht="31.5" x14ac:dyDescent="0.25">
      <c r="A230" s="448" t="s">
        <v>804</v>
      </c>
      <c r="B230" s="449" t="s">
        <v>1107</v>
      </c>
      <c r="C230" s="450" t="s">
        <v>1108</v>
      </c>
      <c r="D230" s="450"/>
      <c r="E230" s="450" t="s">
        <v>1084</v>
      </c>
      <c r="F230" s="450"/>
      <c r="G230" s="452"/>
      <c r="H230" s="452"/>
      <c r="I230" s="492"/>
      <c r="J230" s="492"/>
      <c r="K230" s="492"/>
      <c r="L230" s="492"/>
      <c r="M230" s="492"/>
      <c r="N230" s="492"/>
      <c r="O230" s="492"/>
      <c r="P230" s="492"/>
      <c r="Q230" s="492"/>
      <c r="R230" s="492"/>
      <c r="S230" s="492"/>
      <c r="T230" s="492"/>
      <c r="U230" s="492"/>
      <c r="V230" s="492"/>
      <c r="W230" s="492"/>
      <c r="X230" s="453">
        <v>967</v>
      </c>
      <c r="Y230" s="453">
        <v>870</v>
      </c>
      <c r="Z230" s="453"/>
      <c r="AA230" s="453"/>
      <c r="AB230" s="453"/>
      <c r="AC230" s="452"/>
      <c r="AD230" s="452"/>
      <c r="AE230" s="452"/>
      <c r="AF230" s="452"/>
      <c r="AG230" s="452"/>
      <c r="AH230" s="452">
        <v>870</v>
      </c>
      <c r="AI230" s="452">
        <v>870</v>
      </c>
      <c r="AJ230" s="454"/>
      <c r="AK230" s="454">
        <f t="shared" si="38"/>
        <v>0</v>
      </c>
      <c r="AL230" s="454">
        <f t="shared" si="39"/>
        <v>0</v>
      </c>
      <c r="AM230" s="454">
        <v>967</v>
      </c>
      <c r="AN230" s="454">
        <v>870</v>
      </c>
      <c r="AO230" s="454"/>
      <c r="AP230" s="454"/>
      <c r="AQ230" s="452"/>
      <c r="AR230" s="452"/>
      <c r="AS230" s="494">
        <v>967</v>
      </c>
      <c r="AT230" s="494">
        <v>870</v>
      </c>
      <c r="AU230" s="495"/>
      <c r="AV230" s="495"/>
      <c r="AW230" s="147"/>
      <c r="AX230" s="119"/>
      <c r="BB230" s="119">
        <v>1</v>
      </c>
      <c r="BC230" s="119">
        <v>6</v>
      </c>
    </row>
    <row r="231" spans="1:55" ht="31.5" x14ac:dyDescent="0.25">
      <c r="A231" s="448" t="s">
        <v>806</v>
      </c>
      <c r="B231" s="449" t="s">
        <v>1109</v>
      </c>
      <c r="C231" s="450" t="s">
        <v>1110</v>
      </c>
      <c r="D231" s="450"/>
      <c r="E231" s="450" t="s">
        <v>1084</v>
      </c>
      <c r="F231" s="450"/>
      <c r="G231" s="452"/>
      <c r="H231" s="452"/>
      <c r="I231" s="492"/>
      <c r="J231" s="492"/>
      <c r="K231" s="492"/>
      <c r="L231" s="492"/>
      <c r="M231" s="492"/>
      <c r="N231" s="492"/>
      <c r="O231" s="492"/>
      <c r="P231" s="492"/>
      <c r="Q231" s="492"/>
      <c r="R231" s="492"/>
      <c r="S231" s="492"/>
      <c r="T231" s="492"/>
      <c r="U231" s="492"/>
      <c r="V231" s="492"/>
      <c r="W231" s="492"/>
      <c r="X231" s="453">
        <v>967</v>
      </c>
      <c r="Y231" s="453">
        <v>870</v>
      </c>
      <c r="Z231" s="453"/>
      <c r="AA231" s="453"/>
      <c r="AB231" s="453"/>
      <c r="AC231" s="452"/>
      <c r="AD231" s="452"/>
      <c r="AE231" s="452"/>
      <c r="AF231" s="452"/>
      <c r="AG231" s="452"/>
      <c r="AH231" s="452">
        <v>870</v>
      </c>
      <c r="AI231" s="452">
        <v>870</v>
      </c>
      <c r="AJ231" s="454"/>
      <c r="AK231" s="454">
        <f t="shared" si="38"/>
        <v>0</v>
      </c>
      <c r="AL231" s="454">
        <f t="shared" si="39"/>
        <v>0</v>
      </c>
      <c r="AM231" s="454">
        <v>967</v>
      </c>
      <c r="AN231" s="454">
        <v>870</v>
      </c>
      <c r="AO231" s="454"/>
      <c r="AP231" s="454"/>
      <c r="AQ231" s="452"/>
      <c r="AR231" s="452"/>
      <c r="AS231" s="494">
        <v>967</v>
      </c>
      <c r="AT231" s="494">
        <v>870</v>
      </c>
      <c r="AU231" s="495"/>
      <c r="AV231" s="495"/>
      <c r="AW231" s="147"/>
      <c r="AX231" s="119"/>
      <c r="BB231" s="119">
        <v>1</v>
      </c>
      <c r="BC231" s="119">
        <v>6</v>
      </c>
    </row>
    <row r="232" spans="1:55" ht="47.25" x14ac:dyDescent="0.25">
      <c r="A232" s="448" t="s">
        <v>808</v>
      </c>
      <c r="B232" s="449" t="s">
        <v>1111</v>
      </c>
      <c r="C232" s="450" t="s">
        <v>1112</v>
      </c>
      <c r="D232" s="450"/>
      <c r="E232" s="450" t="s">
        <v>1084</v>
      </c>
      <c r="F232" s="450"/>
      <c r="G232" s="452"/>
      <c r="H232" s="452"/>
      <c r="I232" s="492"/>
      <c r="J232" s="492"/>
      <c r="K232" s="492"/>
      <c r="L232" s="492"/>
      <c r="M232" s="492"/>
      <c r="N232" s="492"/>
      <c r="O232" s="492"/>
      <c r="P232" s="492"/>
      <c r="Q232" s="492"/>
      <c r="R232" s="492"/>
      <c r="S232" s="492"/>
      <c r="T232" s="492"/>
      <c r="U232" s="492"/>
      <c r="V232" s="492"/>
      <c r="W232" s="492"/>
      <c r="X232" s="453">
        <v>444</v>
      </c>
      <c r="Y232" s="453">
        <v>400</v>
      </c>
      <c r="Z232" s="453"/>
      <c r="AA232" s="453"/>
      <c r="AB232" s="453"/>
      <c r="AC232" s="452"/>
      <c r="AD232" s="452"/>
      <c r="AE232" s="452"/>
      <c r="AF232" s="452"/>
      <c r="AG232" s="452"/>
      <c r="AH232" s="452">
        <v>400</v>
      </c>
      <c r="AI232" s="452">
        <v>400</v>
      </c>
      <c r="AJ232" s="454"/>
      <c r="AK232" s="454">
        <f t="shared" si="38"/>
        <v>0</v>
      </c>
      <c r="AL232" s="454">
        <f t="shared" si="39"/>
        <v>0</v>
      </c>
      <c r="AM232" s="454">
        <v>444</v>
      </c>
      <c r="AN232" s="454">
        <v>400</v>
      </c>
      <c r="AO232" s="454"/>
      <c r="AP232" s="454"/>
      <c r="AQ232" s="452"/>
      <c r="AR232" s="452"/>
      <c r="AS232" s="494">
        <v>444</v>
      </c>
      <c r="AT232" s="494">
        <v>400</v>
      </c>
      <c r="AU232" s="495"/>
      <c r="AV232" s="495"/>
      <c r="AW232" s="147"/>
      <c r="AX232" s="119"/>
      <c r="BB232" s="119">
        <v>1</v>
      </c>
      <c r="BC232" s="119">
        <v>6</v>
      </c>
    </row>
    <row r="233" spans="1:55" ht="31.5" x14ac:dyDescent="0.25">
      <c r="A233" s="448" t="s">
        <v>811</v>
      </c>
      <c r="B233" s="449" t="s">
        <v>1113</v>
      </c>
      <c r="C233" s="450" t="s">
        <v>1114</v>
      </c>
      <c r="D233" s="450"/>
      <c r="E233" s="450">
        <v>2018</v>
      </c>
      <c r="F233" s="450"/>
      <c r="G233" s="452"/>
      <c r="H233" s="452"/>
      <c r="I233" s="492"/>
      <c r="J233" s="492"/>
      <c r="K233" s="492"/>
      <c r="L233" s="492"/>
      <c r="M233" s="492"/>
      <c r="N233" s="492"/>
      <c r="O233" s="492"/>
      <c r="P233" s="492"/>
      <c r="Q233" s="492"/>
      <c r="R233" s="492"/>
      <c r="S233" s="492"/>
      <c r="T233" s="492"/>
      <c r="U233" s="492"/>
      <c r="V233" s="492"/>
      <c r="W233" s="492"/>
      <c r="X233" s="453">
        <v>1667</v>
      </c>
      <c r="Y233" s="453">
        <v>1500</v>
      </c>
      <c r="Z233" s="453"/>
      <c r="AA233" s="453"/>
      <c r="AB233" s="453"/>
      <c r="AC233" s="452"/>
      <c r="AD233" s="452"/>
      <c r="AE233" s="452"/>
      <c r="AF233" s="452"/>
      <c r="AG233" s="452"/>
      <c r="AH233" s="452"/>
      <c r="AI233" s="452"/>
      <c r="AJ233" s="454"/>
      <c r="AK233" s="454">
        <f t="shared" si="38"/>
        <v>0</v>
      </c>
      <c r="AL233" s="454">
        <f t="shared" si="39"/>
        <v>0</v>
      </c>
      <c r="AM233" s="454">
        <v>1667</v>
      </c>
      <c r="AN233" s="454">
        <v>1500</v>
      </c>
      <c r="AO233" s="454"/>
      <c r="AP233" s="454"/>
      <c r="AQ233" s="452"/>
      <c r="AR233" s="452"/>
      <c r="AS233" s="494">
        <v>1667</v>
      </c>
      <c r="AT233" s="494">
        <v>1500</v>
      </c>
      <c r="AU233" s="495"/>
      <c r="AV233" s="495"/>
      <c r="AW233" s="147"/>
      <c r="AX233" s="119"/>
      <c r="BB233" s="119">
        <v>1</v>
      </c>
      <c r="BC233" s="119">
        <v>6</v>
      </c>
    </row>
    <row r="234" spans="1:55" ht="47.25" x14ac:dyDescent="0.25">
      <c r="A234" s="448" t="s">
        <v>813</v>
      </c>
      <c r="B234" s="449" t="s">
        <v>1115</v>
      </c>
      <c r="C234" s="450" t="s">
        <v>1116</v>
      </c>
      <c r="D234" s="450"/>
      <c r="E234" s="450">
        <v>2018</v>
      </c>
      <c r="F234" s="450"/>
      <c r="G234" s="452"/>
      <c r="H234" s="452"/>
      <c r="I234" s="492"/>
      <c r="J234" s="492"/>
      <c r="K234" s="492"/>
      <c r="L234" s="492"/>
      <c r="M234" s="492"/>
      <c r="N234" s="492"/>
      <c r="O234" s="492"/>
      <c r="P234" s="492"/>
      <c r="Q234" s="492"/>
      <c r="R234" s="492"/>
      <c r="S234" s="492"/>
      <c r="T234" s="492"/>
      <c r="U234" s="492"/>
      <c r="V234" s="492"/>
      <c r="W234" s="492"/>
      <c r="X234" s="453">
        <v>909</v>
      </c>
      <c r="Y234" s="453">
        <v>818</v>
      </c>
      <c r="Z234" s="453"/>
      <c r="AA234" s="453"/>
      <c r="AB234" s="453"/>
      <c r="AC234" s="452"/>
      <c r="AD234" s="452"/>
      <c r="AE234" s="452"/>
      <c r="AF234" s="452"/>
      <c r="AG234" s="452"/>
      <c r="AH234" s="452"/>
      <c r="AI234" s="452"/>
      <c r="AJ234" s="454"/>
      <c r="AK234" s="454">
        <f t="shared" si="38"/>
        <v>0</v>
      </c>
      <c r="AL234" s="454">
        <f t="shared" si="39"/>
        <v>0</v>
      </c>
      <c r="AM234" s="454">
        <v>909</v>
      </c>
      <c r="AN234" s="454">
        <v>818</v>
      </c>
      <c r="AO234" s="454"/>
      <c r="AP234" s="454"/>
      <c r="AQ234" s="452"/>
      <c r="AR234" s="452"/>
      <c r="AS234" s="494">
        <v>909</v>
      </c>
      <c r="AT234" s="494">
        <v>818</v>
      </c>
      <c r="AU234" s="495"/>
      <c r="AV234" s="495"/>
      <c r="AW234" s="147"/>
      <c r="AX234" s="119"/>
      <c r="BB234" s="119">
        <v>1</v>
      </c>
      <c r="BC234" s="119">
        <v>6</v>
      </c>
    </row>
    <row r="235" spans="1:55" ht="47.25" x14ac:dyDescent="0.25">
      <c r="A235" s="448" t="s">
        <v>816</v>
      </c>
      <c r="B235" s="449" t="s">
        <v>1117</v>
      </c>
      <c r="C235" s="450" t="s">
        <v>1093</v>
      </c>
      <c r="D235" s="450"/>
      <c r="E235" s="450">
        <v>2018</v>
      </c>
      <c r="F235" s="450"/>
      <c r="G235" s="452"/>
      <c r="H235" s="452"/>
      <c r="I235" s="492"/>
      <c r="J235" s="492"/>
      <c r="K235" s="492"/>
      <c r="L235" s="492"/>
      <c r="M235" s="492"/>
      <c r="N235" s="492"/>
      <c r="O235" s="492"/>
      <c r="P235" s="492"/>
      <c r="Q235" s="492"/>
      <c r="R235" s="492"/>
      <c r="S235" s="492"/>
      <c r="T235" s="492"/>
      <c r="U235" s="492"/>
      <c r="V235" s="492"/>
      <c r="W235" s="492"/>
      <c r="X235" s="453">
        <v>2778</v>
      </c>
      <c r="Y235" s="453">
        <v>2500</v>
      </c>
      <c r="Z235" s="453"/>
      <c r="AA235" s="453"/>
      <c r="AB235" s="453"/>
      <c r="AC235" s="452"/>
      <c r="AD235" s="452"/>
      <c r="AE235" s="452"/>
      <c r="AF235" s="452"/>
      <c r="AG235" s="452"/>
      <c r="AH235" s="452"/>
      <c r="AI235" s="452"/>
      <c r="AJ235" s="454"/>
      <c r="AK235" s="454">
        <f t="shared" si="38"/>
        <v>0</v>
      </c>
      <c r="AL235" s="454">
        <f t="shared" si="39"/>
        <v>0</v>
      </c>
      <c r="AM235" s="454">
        <v>2778</v>
      </c>
      <c r="AN235" s="454">
        <v>2500</v>
      </c>
      <c r="AO235" s="454"/>
      <c r="AP235" s="454"/>
      <c r="AQ235" s="452"/>
      <c r="AR235" s="452"/>
      <c r="AS235" s="494">
        <v>2778</v>
      </c>
      <c r="AT235" s="494">
        <v>2500</v>
      </c>
      <c r="AU235" s="495"/>
      <c r="AV235" s="495"/>
      <c r="AW235" s="147"/>
      <c r="AX235" s="119"/>
      <c r="BB235" s="119">
        <v>1</v>
      </c>
      <c r="BC235" s="119">
        <v>6</v>
      </c>
    </row>
    <row r="236" spans="1:55" ht="31.5" x14ac:dyDescent="0.25">
      <c r="A236" s="448" t="s">
        <v>819</v>
      </c>
      <c r="B236" s="449" t="s">
        <v>1118</v>
      </c>
      <c r="C236" s="450" t="s">
        <v>1119</v>
      </c>
      <c r="D236" s="450"/>
      <c r="E236" s="450">
        <v>2018</v>
      </c>
      <c r="F236" s="450"/>
      <c r="G236" s="452"/>
      <c r="H236" s="452"/>
      <c r="I236" s="492"/>
      <c r="J236" s="492"/>
      <c r="K236" s="492"/>
      <c r="L236" s="492"/>
      <c r="M236" s="492"/>
      <c r="N236" s="492"/>
      <c r="O236" s="492"/>
      <c r="P236" s="492"/>
      <c r="Q236" s="492"/>
      <c r="R236" s="492"/>
      <c r="S236" s="492"/>
      <c r="T236" s="492"/>
      <c r="U236" s="492"/>
      <c r="V236" s="492"/>
      <c r="W236" s="492"/>
      <c r="X236" s="453">
        <v>1333</v>
      </c>
      <c r="Y236" s="453">
        <v>1200</v>
      </c>
      <c r="Z236" s="453"/>
      <c r="AA236" s="453"/>
      <c r="AB236" s="453"/>
      <c r="AC236" s="452"/>
      <c r="AD236" s="452"/>
      <c r="AE236" s="452"/>
      <c r="AF236" s="452"/>
      <c r="AG236" s="452"/>
      <c r="AH236" s="452"/>
      <c r="AI236" s="452"/>
      <c r="AJ236" s="454"/>
      <c r="AK236" s="454">
        <f t="shared" si="38"/>
        <v>0</v>
      </c>
      <c r="AL236" s="454">
        <f t="shared" si="39"/>
        <v>0</v>
      </c>
      <c r="AM236" s="454">
        <v>1333</v>
      </c>
      <c r="AN236" s="454">
        <v>1200</v>
      </c>
      <c r="AO236" s="454"/>
      <c r="AP236" s="454"/>
      <c r="AQ236" s="452"/>
      <c r="AR236" s="452"/>
      <c r="AS236" s="494">
        <v>1333</v>
      </c>
      <c r="AT236" s="494">
        <v>1200</v>
      </c>
      <c r="AU236" s="495"/>
      <c r="AV236" s="495"/>
      <c r="AW236" s="147"/>
      <c r="AX236" s="119"/>
      <c r="BB236" s="119">
        <v>1</v>
      </c>
      <c r="BC236" s="119">
        <v>6</v>
      </c>
    </row>
    <row r="237" spans="1:55" ht="31.5" x14ac:dyDescent="0.25">
      <c r="A237" s="448" t="s">
        <v>821</v>
      </c>
      <c r="B237" s="449" t="s">
        <v>1120</v>
      </c>
      <c r="C237" s="450" t="s">
        <v>1121</v>
      </c>
      <c r="D237" s="450"/>
      <c r="E237" s="450">
        <v>2018</v>
      </c>
      <c r="F237" s="450"/>
      <c r="G237" s="452"/>
      <c r="H237" s="452"/>
      <c r="I237" s="492"/>
      <c r="J237" s="492"/>
      <c r="K237" s="492"/>
      <c r="L237" s="492"/>
      <c r="M237" s="492"/>
      <c r="N237" s="492"/>
      <c r="O237" s="492"/>
      <c r="P237" s="492"/>
      <c r="Q237" s="492"/>
      <c r="R237" s="492"/>
      <c r="S237" s="492"/>
      <c r="T237" s="492"/>
      <c r="U237" s="492"/>
      <c r="V237" s="492"/>
      <c r="W237" s="492"/>
      <c r="X237" s="453">
        <v>1667</v>
      </c>
      <c r="Y237" s="453">
        <v>1500</v>
      </c>
      <c r="Z237" s="453"/>
      <c r="AA237" s="453"/>
      <c r="AB237" s="453"/>
      <c r="AC237" s="452"/>
      <c r="AD237" s="452"/>
      <c r="AE237" s="452"/>
      <c r="AF237" s="452"/>
      <c r="AG237" s="452"/>
      <c r="AH237" s="452"/>
      <c r="AI237" s="452"/>
      <c r="AJ237" s="454"/>
      <c r="AK237" s="454">
        <f t="shared" si="38"/>
        <v>0</v>
      </c>
      <c r="AL237" s="454">
        <f t="shared" si="39"/>
        <v>0</v>
      </c>
      <c r="AM237" s="453">
        <v>1667</v>
      </c>
      <c r="AN237" s="453">
        <v>1500</v>
      </c>
      <c r="AO237" s="454"/>
      <c r="AP237" s="454"/>
      <c r="AQ237" s="452"/>
      <c r="AR237" s="452"/>
      <c r="AS237" s="497">
        <v>1667</v>
      </c>
      <c r="AT237" s="497">
        <v>1500</v>
      </c>
      <c r="AU237" s="495"/>
      <c r="AV237" s="495"/>
      <c r="AW237" s="147"/>
      <c r="AX237" s="119"/>
      <c r="BB237" s="119">
        <v>1</v>
      </c>
      <c r="BC237" s="119">
        <v>6</v>
      </c>
    </row>
    <row r="238" spans="1:55" ht="31.5" x14ac:dyDescent="0.25">
      <c r="A238" s="448" t="s">
        <v>823</v>
      </c>
      <c r="B238" s="449" t="s">
        <v>1122</v>
      </c>
      <c r="C238" s="450" t="s">
        <v>1101</v>
      </c>
      <c r="D238" s="450"/>
      <c r="E238" s="450">
        <v>2018</v>
      </c>
      <c r="F238" s="450"/>
      <c r="G238" s="452"/>
      <c r="H238" s="452"/>
      <c r="I238" s="492"/>
      <c r="J238" s="492"/>
      <c r="K238" s="492"/>
      <c r="L238" s="492"/>
      <c r="M238" s="492"/>
      <c r="N238" s="492"/>
      <c r="O238" s="492"/>
      <c r="P238" s="492"/>
      <c r="Q238" s="492"/>
      <c r="R238" s="492"/>
      <c r="S238" s="492"/>
      <c r="T238" s="492"/>
      <c r="U238" s="492"/>
      <c r="V238" s="492"/>
      <c r="W238" s="492"/>
      <c r="X238" s="453">
        <v>967</v>
      </c>
      <c r="Y238" s="453">
        <v>870</v>
      </c>
      <c r="Z238" s="453"/>
      <c r="AA238" s="453"/>
      <c r="AB238" s="453"/>
      <c r="AC238" s="452"/>
      <c r="AD238" s="452"/>
      <c r="AE238" s="452"/>
      <c r="AF238" s="452"/>
      <c r="AG238" s="452"/>
      <c r="AH238" s="452"/>
      <c r="AI238" s="452"/>
      <c r="AJ238" s="454"/>
      <c r="AK238" s="454">
        <f t="shared" si="38"/>
        <v>0</v>
      </c>
      <c r="AL238" s="454">
        <f t="shared" si="39"/>
        <v>0</v>
      </c>
      <c r="AM238" s="454">
        <v>967</v>
      </c>
      <c r="AN238" s="454">
        <v>870</v>
      </c>
      <c r="AO238" s="454"/>
      <c r="AP238" s="454"/>
      <c r="AQ238" s="452"/>
      <c r="AR238" s="452"/>
      <c r="AS238" s="494">
        <v>967</v>
      </c>
      <c r="AT238" s="494">
        <v>870</v>
      </c>
      <c r="AU238" s="495"/>
      <c r="AV238" s="495"/>
      <c r="AW238" s="147"/>
      <c r="AX238" s="119"/>
      <c r="BB238" s="119">
        <v>1</v>
      </c>
      <c r="BC238" s="119">
        <v>2</v>
      </c>
    </row>
    <row r="239" spans="1:55" ht="31.5" x14ac:dyDescent="0.25">
      <c r="A239" s="448" t="s">
        <v>825</v>
      </c>
      <c r="B239" s="449" t="s">
        <v>1123</v>
      </c>
      <c r="C239" s="450" t="s">
        <v>1124</v>
      </c>
      <c r="D239" s="450"/>
      <c r="E239" s="450">
        <v>2018</v>
      </c>
      <c r="F239" s="450"/>
      <c r="G239" s="452"/>
      <c r="H239" s="452"/>
      <c r="I239" s="492"/>
      <c r="J239" s="492"/>
      <c r="K239" s="492"/>
      <c r="L239" s="492"/>
      <c r="M239" s="492"/>
      <c r="N239" s="492"/>
      <c r="O239" s="492"/>
      <c r="P239" s="492"/>
      <c r="Q239" s="492"/>
      <c r="R239" s="492"/>
      <c r="S239" s="492"/>
      <c r="T239" s="492"/>
      <c r="U239" s="492"/>
      <c r="V239" s="492"/>
      <c r="W239" s="492"/>
      <c r="X239" s="453">
        <v>278</v>
      </c>
      <c r="Y239" s="453">
        <v>250</v>
      </c>
      <c r="Z239" s="453"/>
      <c r="AA239" s="453"/>
      <c r="AB239" s="453"/>
      <c r="AC239" s="452"/>
      <c r="AD239" s="452"/>
      <c r="AE239" s="452"/>
      <c r="AF239" s="452"/>
      <c r="AG239" s="452"/>
      <c r="AH239" s="452"/>
      <c r="AI239" s="452"/>
      <c r="AJ239" s="454"/>
      <c r="AK239" s="454">
        <f t="shared" si="38"/>
        <v>0</v>
      </c>
      <c r="AL239" s="454">
        <f t="shared" si="39"/>
        <v>0</v>
      </c>
      <c r="AM239" s="454">
        <v>278</v>
      </c>
      <c r="AN239" s="454">
        <v>250</v>
      </c>
      <c r="AO239" s="454"/>
      <c r="AP239" s="454"/>
      <c r="AQ239" s="452"/>
      <c r="AR239" s="452"/>
      <c r="AS239" s="494">
        <v>278</v>
      </c>
      <c r="AT239" s="494">
        <v>250</v>
      </c>
      <c r="AU239" s="495"/>
      <c r="AV239" s="495"/>
      <c r="AW239" s="147"/>
      <c r="AX239" s="119"/>
      <c r="BB239" s="119">
        <v>1</v>
      </c>
      <c r="BC239" s="119">
        <v>6</v>
      </c>
    </row>
    <row r="240" spans="1:55" ht="47.25" x14ac:dyDescent="0.25">
      <c r="A240" s="448" t="s">
        <v>827</v>
      </c>
      <c r="B240" s="449" t="s">
        <v>1125</v>
      </c>
      <c r="C240" s="450" t="s">
        <v>1126</v>
      </c>
      <c r="D240" s="450"/>
      <c r="E240" s="450">
        <v>2018</v>
      </c>
      <c r="F240" s="450"/>
      <c r="G240" s="452"/>
      <c r="H240" s="452"/>
      <c r="I240" s="492"/>
      <c r="J240" s="492"/>
      <c r="K240" s="492"/>
      <c r="L240" s="492"/>
      <c r="M240" s="492"/>
      <c r="N240" s="492"/>
      <c r="O240" s="492"/>
      <c r="P240" s="492"/>
      <c r="Q240" s="492"/>
      <c r="R240" s="492"/>
      <c r="S240" s="492"/>
      <c r="T240" s="492"/>
      <c r="U240" s="492"/>
      <c r="V240" s="492"/>
      <c r="W240" s="492"/>
      <c r="X240" s="453">
        <v>1333</v>
      </c>
      <c r="Y240" s="453">
        <v>1200</v>
      </c>
      <c r="Z240" s="453"/>
      <c r="AA240" s="453"/>
      <c r="AB240" s="453"/>
      <c r="AC240" s="452"/>
      <c r="AD240" s="452"/>
      <c r="AE240" s="452"/>
      <c r="AF240" s="452"/>
      <c r="AG240" s="452"/>
      <c r="AH240" s="452"/>
      <c r="AI240" s="452"/>
      <c r="AJ240" s="454"/>
      <c r="AK240" s="454">
        <f t="shared" si="38"/>
        <v>0</v>
      </c>
      <c r="AL240" s="454">
        <f t="shared" si="39"/>
        <v>0</v>
      </c>
      <c r="AM240" s="454">
        <v>1333</v>
      </c>
      <c r="AN240" s="454">
        <v>1200</v>
      </c>
      <c r="AO240" s="454"/>
      <c r="AP240" s="454"/>
      <c r="AQ240" s="452"/>
      <c r="AR240" s="452"/>
      <c r="AS240" s="494">
        <v>1333</v>
      </c>
      <c r="AT240" s="494">
        <v>1200</v>
      </c>
      <c r="AU240" s="495"/>
      <c r="AV240" s="495"/>
      <c r="AW240" s="147"/>
      <c r="AX240" s="119"/>
      <c r="BB240" s="119">
        <v>1</v>
      </c>
      <c r="BC240" s="119">
        <v>6</v>
      </c>
    </row>
    <row r="241" spans="1:55" ht="31.5" x14ac:dyDescent="0.25">
      <c r="A241" s="448" t="s">
        <v>829</v>
      </c>
      <c r="B241" s="449" t="s">
        <v>1127</v>
      </c>
      <c r="C241" s="450" t="s">
        <v>1128</v>
      </c>
      <c r="D241" s="450"/>
      <c r="E241" s="450">
        <v>2018</v>
      </c>
      <c r="F241" s="450"/>
      <c r="G241" s="452"/>
      <c r="H241" s="452"/>
      <c r="I241" s="492"/>
      <c r="J241" s="492"/>
      <c r="K241" s="492"/>
      <c r="L241" s="492"/>
      <c r="M241" s="492"/>
      <c r="N241" s="492"/>
      <c r="O241" s="492"/>
      <c r="P241" s="492"/>
      <c r="Q241" s="492"/>
      <c r="R241" s="492"/>
      <c r="S241" s="492"/>
      <c r="T241" s="492"/>
      <c r="U241" s="492"/>
      <c r="V241" s="492"/>
      <c r="W241" s="492"/>
      <c r="X241" s="453">
        <v>967</v>
      </c>
      <c r="Y241" s="453">
        <v>870</v>
      </c>
      <c r="Z241" s="453"/>
      <c r="AA241" s="453"/>
      <c r="AB241" s="453"/>
      <c r="AC241" s="452"/>
      <c r="AD241" s="452"/>
      <c r="AE241" s="452"/>
      <c r="AF241" s="452"/>
      <c r="AG241" s="452"/>
      <c r="AH241" s="452"/>
      <c r="AI241" s="452"/>
      <c r="AJ241" s="454"/>
      <c r="AK241" s="454">
        <f t="shared" si="38"/>
        <v>0</v>
      </c>
      <c r="AL241" s="454">
        <f t="shared" si="39"/>
        <v>0</v>
      </c>
      <c r="AM241" s="454">
        <v>967</v>
      </c>
      <c r="AN241" s="454">
        <v>870</v>
      </c>
      <c r="AO241" s="454"/>
      <c r="AP241" s="454"/>
      <c r="AQ241" s="452"/>
      <c r="AR241" s="452"/>
      <c r="AS241" s="494">
        <v>967</v>
      </c>
      <c r="AT241" s="494">
        <v>870</v>
      </c>
      <c r="AU241" s="495"/>
      <c r="AV241" s="495"/>
      <c r="AW241" s="147"/>
      <c r="AX241" s="119"/>
      <c r="BB241" s="119">
        <v>1</v>
      </c>
      <c r="BC241" s="119">
        <v>6</v>
      </c>
    </row>
    <row r="242" spans="1:55" ht="31.5" x14ac:dyDescent="0.25">
      <c r="A242" s="448" t="s">
        <v>831</v>
      </c>
      <c r="B242" s="449" t="s">
        <v>1129</v>
      </c>
      <c r="C242" s="450" t="s">
        <v>1130</v>
      </c>
      <c r="D242" s="450"/>
      <c r="E242" s="450">
        <v>2018</v>
      </c>
      <c r="F242" s="450"/>
      <c r="G242" s="452"/>
      <c r="H242" s="452"/>
      <c r="I242" s="492"/>
      <c r="J242" s="492"/>
      <c r="K242" s="492"/>
      <c r="L242" s="492"/>
      <c r="M242" s="492"/>
      <c r="N242" s="492"/>
      <c r="O242" s="492"/>
      <c r="P242" s="492"/>
      <c r="Q242" s="492"/>
      <c r="R242" s="492"/>
      <c r="S242" s="492"/>
      <c r="T242" s="492"/>
      <c r="U242" s="492"/>
      <c r="V242" s="492"/>
      <c r="W242" s="492"/>
      <c r="X242" s="453">
        <v>2778</v>
      </c>
      <c r="Y242" s="453">
        <v>2500</v>
      </c>
      <c r="Z242" s="453"/>
      <c r="AA242" s="453"/>
      <c r="AB242" s="453"/>
      <c r="AC242" s="452"/>
      <c r="AD242" s="452"/>
      <c r="AE242" s="452"/>
      <c r="AF242" s="452"/>
      <c r="AG242" s="452"/>
      <c r="AH242" s="452"/>
      <c r="AI242" s="452"/>
      <c r="AJ242" s="454"/>
      <c r="AK242" s="454">
        <f t="shared" si="38"/>
        <v>0</v>
      </c>
      <c r="AL242" s="454">
        <f t="shared" si="39"/>
        <v>0</v>
      </c>
      <c r="AM242" s="454">
        <v>2778</v>
      </c>
      <c r="AN242" s="454">
        <v>2500</v>
      </c>
      <c r="AO242" s="454"/>
      <c r="AP242" s="454"/>
      <c r="AQ242" s="452"/>
      <c r="AR242" s="452"/>
      <c r="AS242" s="494">
        <v>2778</v>
      </c>
      <c r="AT242" s="494">
        <v>2500</v>
      </c>
      <c r="AU242" s="495"/>
      <c r="AV242" s="495"/>
      <c r="AW242" s="147"/>
      <c r="AX242" s="119"/>
      <c r="BB242" s="119">
        <v>1</v>
      </c>
      <c r="BC242" s="119">
        <v>6</v>
      </c>
    </row>
    <row r="243" spans="1:55" ht="47.25" x14ac:dyDescent="0.25">
      <c r="A243" s="448" t="s">
        <v>833</v>
      </c>
      <c r="B243" s="449" t="s">
        <v>1131</v>
      </c>
      <c r="C243" s="450" t="s">
        <v>1062</v>
      </c>
      <c r="D243" s="450"/>
      <c r="E243" s="450">
        <v>2019</v>
      </c>
      <c r="F243" s="450"/>
      <c r="G243" s="452"/>
      <c r="H243" s="452"/>
      <c r="I243" s="492"/>
      <c r="J243" s="492"/>
      <c r="K243" s="492"/>
      <c r="L243" s="492"/>
      <c r="M243" s="492"/>
      <c r="N243" s="492"/>
      <c r="O243" s="492"/>
      <c r="P243" s="492"/>
      <c r="Q243" s="492"/>
      <c r="R243" s="492"/>
      <c r="S243" s="492"/>
      <c r="T243" s="492"/>
      <c r="U243" s="492"/>
      <c r="V243" s="492"/>
      <c r="W243" s="492"/>
      <c r="X243" s="453">
        <v>567</v>
      </c>
      <c r="Y243" s="453">
        <v>567</v>
      </c>
      <c r="Z243" s="453"/>
      <c r="AA243" s="453"/>
      <c r="AB243" s="453"/>
      <c r="AC243" s="452"/>
      <c r="AD243" s="452"/>
      <c r="AE243" s="452"/>
      <c r="AF243" s="452"/>
      <c r="AG243" s="452"/>
      <c r="AH243" s="452"/>
      <c r="AI243" s="452"/>
      <c r="AJ243" s="454"/>
      <c r="AK243" s="454">
        <f t="shared" si="38"/>
        <v>0</v>
      </c>
      <c r="AL243" s="454">
        <f t="shared" si="39"/>
        <v>0</v>
      </c>
      <c r="AM243" s="454">
        <v>637</v>
      </c>
      <c r="AN243" s="454">
        <v>567</v>
      </c>
      <c r="AO243" s="454"/>
      <c r="AP243" s="454"/>
      <c r="AQ243" s="452"/>
      <c r="AR243" s="452"/>
      <c r="AS243" s="494">
        <v>637</v>
      </c>
      <c r="AT243" s="494">
        <v>567</v>
      </c>
      <c r="AU243" s="495"/>
      <c r="AV243" s="495"/>
      <c r="AW243" s="147"/>
      <c r="AX243" s="119"/>
      <c r="BB243" s="119">
        <v>1</v>
      </c>
      <c r="BC243" s="119">
        <v>6</v>
      </c>
    </row>
    <row r="244" spans="1:55" ht="47.25" x14ac:dyDescent="0.25">
      <c r="A244" s="448" t="s">
        <v>835</v>
      </c>
      <c r="B244" s="449" t="s">
        <v>1132</v>
      </c>
      <c r="C244" s="450" t="s">
        <v>1069</v>
      </c>
      <c r="D244" s="450"/>
      <c r="E244" s="450">
        <v>2019</v>
      </c>
      <c r="F244" s="450"/>
      <c r="G244" s="452"/>
      <c r="H244" s="452"/>
      <c r="I244" s="492"/>
      <c r="J244" s="492"/>
      <c r="K244" s="492"/>
      <c r="L244" s="492"/>
      <c r="M244" s="492"/>
      <c r="N244" s="492"/>
      <c r="O244" s="492"/>
      <c r="P244" s="492"/>
      <c r="Q244" s="492"/>
      <c r="R244" s="492"/>
      <c r="S244" s="492"/>
      <c r="T244" s="492"/>
      <c r="U244" s="492"/>
      <c r="V244" s="492"/>
      <c r="W244" s="492"/>
      <c r="X244" s="453">
        <v>1500</v>
      </c>
      <c r="Y244" s="453">
        <v>1500</v>
      </c>
      <c r="Z244" s="453"/>
      <c r="AA244" s="453"/>
      <c r="AB244" s="453"/>
      <c r="AC244" s="452"/>
      <c r="AD244" s="452"/>
      <c r="AE244" s="452"/>
      <c r="AF244" s="452"/>
      <c r="AG244" s="452"/>
      <c r="AH244" s="452"/>
      <c r="AI244" s="452"/>
      <c r="AJ244" s="454"/>
      <c r="AK244" s="454">
        <f t="shared" si="38"/>
        <v>0</v>
      </c>
      <c r="AL244" s="454">
        <f t="shared" si="39"/>
        <v>682</v>
      </c>
      <c r="AM244" s="454">
        <v>1400</v>
      </c>
      <c r="AN244" s="454">
        <v>818</v>
      </c>
      <c r="AO244" s="454"/>
      <c r="AP244" s="454"/>
      <c r="AQ244" s="452"/>
      <c r="AR244" s="452"/>
      <c r="AS244" s="494">
        <v>1400</v>
      </c>
      <c r="AT244" s="494">
        <v>818</v>
      </c>
      <c r="AU244" s="495"/>
      <c r="AV244" s="495"/>
      <c r="AW244" s="147"/>
      <c r="AX244" s="119"/>
      <c r="BB244" s="119">
        <v>1</v>
      </c>
      <c r="BC244" s="119">
        <v>6</v>
      </c>
    </row>
    <row r="245" spans="1:55" ht="47.25" x14ac:dyDescent="0.25">
      <c r="A245" s="448" t="s">
        <v>837</v>
      </c>
      <c r="B245" s="449" t="s">
        <v>1133</v>
      </c>
      <c r="C245" s="450" t="s">
        <v>1069</v>
      </c>
      <c r="D245" s="450"/>
      <c r="E245" s="450">
        <v>2019</v>
      </c>
      <c r="F245" s="450"/>
      <c r="G245" s="452"/>
      <c r="H245" s="452"/>
      <c r="I245" s="492"/>
      <c r="J245" s="492"/>
      <c r="K245" s="492"/>
      <c r="L245" s="492"/>
      <c r="M245" s="492"/>
      <c r="N245" s="492"/>
      <c r="O245" s="492"/>
      <c r="P245" s="492"/>
      <c r="Q245" s="492"/>
      <c r="R245" s="492"/>
      <c r="S245" s="492"/>
      <c r="T245" s="492"/>
      <c r="U245" s="492"/>
      <c r="V245" s="492"/>
      <c r="W245" s="492"/>
      <c r="X245" s="453">
        <v>400</v>
      </c>
      <c r="Y245" s="453">
        <v>400</v>
      </c>
      <c r="Z245" s="453"/>
      <c r="AA245" s="453"/>
      <c r="AB245" s="453"/>
      <c r="AC245" s="452"/>
      <c r="AD245" s="452"/>
      <c r="AE245" s="452"/>
      <c r="AF245" s="452"/>
      <c r="AG245" s="452"/>
      <c r="AH245" s="452"/>
      <c r="AI245" s="452"/>
      <c r="AJ245" s="454"/>
      <c r="AK245" s="454">
        <f t="shared" si="38"/>
        <v>0</v>
      </c>
      <c r="AL245" s="454">
        <f t="shared" si="39"/>
        <v>0</v>
      </c>
      <c r="AM245" s="454">
        <v>730</v>
      </c>
      <c r="AN245" s="454">
        <v>400</v>
      </c>
      <c r="AO245" s="454"/>
      <c r="AP245" s="454"/>
      <c r="AQ245" s="452"/>
      <c r="AR245" s="452"/>
      <c r="AS245" s="494">
        <v>730</v>
      </c>
      <c r="AT245" s="494">
        <v>400</v>
      </c>
      <c r="AU245" s="495"/>
      <c r="AV245" s="495"/>
      <c r="AW245" s="147"/>
      <c r="AX245" s="119"/>
      <c r="BB245" s="119">
        <v>1</v>
      </c>
      <c r="BC245" s="119">
        <v>6</v>
      </c>
    </row>
    <row r="246" spans="1:55" ht="47.25" x14ac:dyDescent="0.25">
      <c r="A246" s="448" t="s">
        <v>839</v>
      </c>
      <c r="B246" s="449" t="s">
        <v>1134</v>
      </c>
      <c r="C246" s="450" t="s">
        <v>1066</v>
      </c>
      <c r="D246" s="450"/>
      <c r="E246" s="450">
        <v>2019</v>
      </c>
      <c r="F246" s="450"/>
      <c r="G246" s="452"/>
      <c r="H246" s="452"/>
      <c r="I246" s="492"/>
      <c r="J246" s="492"/>
      <c r="K246" s="492"/>
      <c r="L246" s="492"/>
      <c r="M246" s="492"/>
      <c r="N246" s="492"/>
      <c r="O246" s="492"/>
      <c r="P246" s="492"/>
      <c r="Q246" s="492"/>
      <c r="R246" s="492"/>
      <c r="S246" s="492"/>
      <c r="T246" s="492"/>
      <c r="U246" s="492"/>
      <c r="V246" s="492"/>
      <c r="W246" s="492"/>
      <c r="X246" s="453">
        <v>870</v>
      </c>
      <c r="Y246" s="453">
        <v>870</v>
      </c>
      <c r="Z246" s="453"/>
      <c r="AA246" s="453"/>
      <c r="AB246" s="453"/>
      <c r="AC246" s="452"/>
      <c r="AD246" s="452"/>
      <c r="AE246" s="452"/>
      <c r="AF246" s="452"/>
      <c r="AG246" s="452"/>
      <c r="AH246" s="452"/>
      <c r="AI246" s="452"/>
      <c r="AJ246" s="454"/>
      <c r="AK246" s="454">
        <f t="shared" si="38"/>
        <v>0</v>
      </c>
      <c r="AL246" s="454">
        <f t="shared" si="39"/>
        <v>0</v>
      </c>
      <c r="AM246" s="454">
        <v>1242</v>
      </c>
      <c r="AN246" s="454">
        <v>870</v>
      </c>
      <c r="AO246" s="454"/>
      <c r="AP246" s="454"/>
      <c r="AQ246" s="452"/>
      <c r="AR246" s="452"/>
      <c r="AS246" s="494">
        <v>1242</v>
      </c>
      <c r="AT246" s="494">
        <v>870</v>
      </c>
      <c r="AU246" s="495"/>
      <c r="AV246" s="495"/>
      <c r="AW246" s="147"/>
      <c r="AX246" s="119"/>
      <c r="BB246" s="119">
        <v>1</v>
      </c>
      <c r="BC246" s="119">
        <v>6</v>
      </c>
    </row>
    <row r="247" spans="1:55" ht="47.25" x14ac:dyDescent="0.25">
      <c r="A247" s="448" t="s">
        <v>841</v>
      </c>
      <c r="B247" s="449" t="s">
        <v>1135</v>
      </c>
      <c r="C247" s="450" t="s">
        <v>1093</v>
      </c>
      <c r="D247" s="450"/>
      <c r="E247" s="450">
        <v>2019</v>
      </c>
      <c r="F247" s="450"/>
      <c r="G247" s="452"/>
      <c r="H247" s="452"/>
      <c r="I247" s="492"/>
      <c r="J247" s="492"/>
      <c r="K247" s="492"/>
      <c r="L247" s="492"/>
      <c r="M247" s="492"/>
      <c r="N247" s="492"/>
      <c r="O247" s="492"/>
      <c r="P247" s="492"/>
      <c r="Q247" s="492"/>
      <c r="R247" s="492"/>
      <c r="S247" s="492"/>
      <c r="T247" s="492"/>
      <c r="U247" s="492"/>
      <c r="V247" s="492"/>
      <c r="W247" s="492"/>
      <c r="X247" s="453">
        <v>1870</v>
      </c>
      <c r="Y247" s="453">
        <v>1870</v>
      </c>
      <c r="Z247" s="453"/>
      <c r="AA247" s="453"/>
      <c r="AB247" s="453"/>
      <c r="AC247" s="452"/>
      <c r="AD247" s="452"/>
      <c r="AE247" s="452"/>
      <c r="AF247" s="452"/>
      <c r="AG247" s="452"/>
      <c r="AH247" s="452"/>
      <c r="AI247" s="452"/>
      <c r="AJ247" s="454"/>
      <c r="AK247" s="454">
        <f t="shared" si="38"/>
        <v>0</v>
      </c>
      <c r="AL247" s="454">
        <f t="shared" si="39"/>
        <v>0</v>
      </c>
      <c r="AM247" s="454">
        <v>2070</v>
      </c>
      <c r="AN247" s="454">
        <v>1870</v>
      </c>
      <c r="AO247" s="454"/>
      <c r="AP247" s="454"/>
      <c r="AQ247" s="452"/>
      <c r="AR247" s="452"/>
      <c r="AS247" s="494">
        <v>2070</v>
      </c>
      <c r="AT247" s="494">
        <v>1870</v>
      </c>
      <c r="AU247" s="495"/>
      <c r="AV247" s="495"/>
      <c r="AW247" s="147"/>
      <c r="AX247" s="119"/>
      <c r="BB247" s="119">
        <v>1</v>
      </c>
      <c r="BC247" s="119">
        <v>6</v>
      </c>
    </row>
    <row r="248" spans="1:55" ht="47.25" x14ac:dyDescent="0.25">
      <c r="A248" s="448" t="s">
        <v>843</v>
      </c>
      <c r="B248" s="449" t="s">
        <v>1136</v>
      </c>
      <c r="C248" s="450" t="s">
        <v>1072</v>
      </c>
      <c r="D248" s="450"/>
      <c r="E248" s="450">
        <v>2019</v>
      </c>
      <c r="F248" s="450"/>
      <c r="G248" s="452"/>
      <c r="H248" s="452"/>
      <c r="I248" s="492"/>
      <c r="J248" s="492"/>
      <c r="K248" s="492"/>
      <c r="L248" s="492"/>
      <c r="M248" s="492"/>
      <c r="N248" s="492"/>
      <c r="O248" s="492"/>
      <c r="P248" s="492"/>
      <c r="Q248" s="492"/>
      <c r="R248" s="492"/>
      <c r="S248" s="492"/>
      <c r="T248" s="492"/>
      <c r="U248" s="492"/>
      <c r="V248" s="492"/>
      <c r="W248" s="492"/>
      <c r="X248" s="453">
        <v>1800</v>
      </c>
      <c r="Y248" s="453">
        <v>1800</v>
      </c>
      <c r="Z248" s="453"/>
      <c r="AA248" s="453"/>
      <c r="AB248" s="453"/>
      <c r="AC248" s="452"/>
      <c r="AD248" s="452"/>
      <c r="AE248" s="452"/>
      <c r="AF248" s="452"/>
      <c r="AG248" s="452"/>
      <c r="AH248" s="452"/>
      <c r="AI248" s="452"/>
      <c r="AJ248" s="454"/>
      <c r="AK248" s="454">
        <f t="shared" si="38"/>
        <v>0</v>
      </c>
      <c r="AL248" s="454">
        <f t="shared" si="39"/>
        <v>0</v>
      </c>
      <c r="AM248" s="454">
        <v>2000</v>
      </c>
      <c r="AN248" s="454">
        <v>1800</v>
      </c>
      <c r="AO248" s="454"/>
      <c r="AP248" s="454"/>
      <c r="AQ248" s="452"/>
      <c r="AR248" s="452"/>
      <c r="AS248" s="494">
        <v>2000</v>
      </c>
      <c r="AT248" s="494">
        <v>1800</v>
      </c>
      <c r="AU248" s="495"/>
      <c r="AV248" s="495"/>
      <c r="AW248" s="147"/>
      <c r="AX248" s="119"/>
      <c r="BB248" s="119">
        <v>1</v>
      </c>
      <c r="BC248" s="119">
        <v>6</v>
      </c>
    </row>
    <row r="249" spans="1:55" ht="47.25" x14ac:dyDescent="0.25">
      <c r="A249" s="448" t="s">
        <v>845</v>
      </c>
      <c r="B249" s="449" t="s">
        <v>1137</v>
      </c>
      <c r="C249" s="450" t="s">
        <v>1112</v>
      </c>
      <c r="D249" s="450"/>
      <c r="E249" s="450">
        <v>2019</v>
      </c>
      <c r="F249" s="450"/>
      <c r="G249" s="452"/>
      <c r="H249" s="452"/>
      <c r="I249" s="492"/>
      <c r="J249" s="492"/>
      <c r="K249" s="492"/>
      <c r="L249" s="492"/>
      <c r="M249" s="492"/>
      <c r="N249" s="492"/>
      <c r="O249" s="492"/>
      <c r="P249" s="492"/>
      <c r="Q249" s="492"/>
      <c r="R249" s="492"/>
      <c r="S249" s="492"/>
      <c r="T249" s="492"/>
      <c r="U249" s="492"/>
      <c r="V249" s="492"/>
      <c r="W249" s="492"/>
      <c r="X249" s="453">
        <v>400</v>
      </c>
      <c r="Y249" s="453">
        <v>400</v>
      </c>
      <c r="Z249" s="453"/>
      <c r="AA249" s="453"/>
      <c r="AB249" s="453"/>
      <c r="AC249" s="452"/>
      <c r="AD249" s="452"/>
      <c r="AE249" s="452"/>
      <c r="AF249" s="452"/>
      <c r="AG249" s="452"/>
      <c r="AH249" s="452"/>
      <c r="AI249" s="452"/>
      <c r="AJ249" s="454"/>
      <c r="AK249" s="454">
        <f t="shared" si="38"/>
        <v>0</v>
      </c>
      <c r="AL249" s="454">
        <f t="shared" si="39"/>
        <v>0</v>
      </c>
      <c r="AM249" s="454">
        <v>445</v>
      </c>
      <c r="AN249" s="454">
        <v>400</v>
      </c>
      <c r="AO249" s="454"/>
      <c r="AP249" s="454"/>
      <c r="AQ249" s="452"/>
      <c r="AR249" s="452"/>
      <c r="AS249" s="494">
        <v>445</v>
      </c>
      <c r="AT249" s="494">
        <v>400</v>
      </c>
      <c r="AU249" s="495"/>
      <c r="AV249" s="495"/>
      <c r="AW249" s="147"/>
      <c r="AX249" s="119"/>
      <c r="BB249" s="119">
        <v>1</v>
      </c>
      <c r="BC249" s="119">
        <v>6</v>
      </c>
    </row>
    <row r="250" spans="1:55" ht="47.25" x14ac:dyDescent="0.25">
      <c r="A250" s="448" t="s">
        <v>847</v>
      </c>
      <c r="B250" s="449" t="s">
        <v>1138</v>
      </c>
      <c r="C250" s="450" t="s">
        <v>1139</v>
      </c>
      <c r="D250" s="450"/>
      <c r="E250" s="450">
        <v>2019</v>
      </c>
      <c r="F250" s="450"/>
      <c r="G250" s="452"/>
      <c r="H250" s="452"/>
      <c r="I250" s="492"/>
      <c r="J250" s="492"/>
      <c r="K250" s="492"/>
      <c r="L250" s="492"/>
      <c r="M250" s="492"/>
      <c r="N250" s="492"/>
      <c r="O250" s="492"/>
      <c r="P250" s="492"/>
      <c r="Q250" s="492"/>
      <c r="R250" s="492"/>
      <c r="S250" s="492"/>
      <c r="T250" s="492"/>
      <c r="U250" s="492"/>
      <c r="V250" s="492"/>
      <c r="W250" s="492"/>
      <c r="X250" s="453">
        <v>135</v>
      </c>
      <c r="Y250" s="453">
        <v>135</v>
      </c>
      <c r="Z250" s="453"/>
      <c r="AA250" s="453"/>
      <c r="AB250" s="453"/>
      <c r="AC250" s="452"/>
      <c r="AD250" s="452"/>
      <c r="AE250" s="452"/>
      <c r="AF250" s="452"/>
      <c r="AG250" s="452"/>
      <c r="AH250" s="452"/>
      <c r="AI250" s="452"/>
      <c r="AJ250" s="454"/>
      <c r="AK250" s="454">
        <f t="shared" si="38"/>
        <v>0</v>
      </c>
      <c r="AL250" s="454">
        <f t="shared" si="39"/>
        <v>0</v>
      </c>
      <c r="AM250" s="454">
        <v>150</v>
      </c>
      <c r="AN250" s="454">
        <v>135</v>
      </c>
      <c r="AO250" s="454"/>
      <c r="AP250" s="454"/>
      <c r="AQ250" s="452"/>
      <c r="AR250" s="452"/>
      <c r="AS250" s="494">
        <v>150</v>
      </c>
      <c r="AT250" s="494">
        <v>135</v>
      </c>
      <c r="AU250" s="495"/>
      <c r="AV250" s="495"/>
      <c r="AW250" s="147"/>
      <c r="AX250" s="119"/>
      <c r="BB250" s="119">
        <v>1</v>
      </c>
      <c r="BC250" s="119">
        <v>6</v>
      </c>
    </row>
    <row r="251" spans="1:55" ht="31.5" x14ac:dyDescent="0.25">
      <c r="A251" s="448" t="s">
        <v>849</v>
      </c>
      <c r="B251" s="449" t="s">
        <v>1140</v>
      </c>
      <c r="C251" s="450" t="s">
        <v>1080</v>
      </c>
      <c r="D251" s="450"/>
      <c r="E251" s="450">
        <v>2019</v>
      </c>
      <c r="F251" s="450"/>
      <c r="G251" s="452"/>
      <c r="H251" s="452"/>
      <c r="I251" s="492"/>
      <c r="J251" s="492"/>
      <c r="K251" s="492"/>
      <c r="L251" s="492"/>
      <c r="M251" s="492"/>
      <c r="N251" s="492"/>
      <c r="O251" s="492"/>
      <c r="P251" s="492"/>
      <c r="Q251" s="492"/>
      <c r="R251" s="492"/>
      <c r="S251" s="492"/>
      <c r="T251" s="492"/>
      <c r="U251" s="492"/>
      <c r="V251" s="492"/>
      <c r="W251" s="492"/>
      <c r="X251" s="453">
        <v>1000</v>
      </c>
      <c r="Y251" s="453">
        <v>1000</v>
      </c>
      <c r="Z251" s="453"/>
      <c r="AA251" s="453"/>
      <c r="AB251" s="453"/>
      <c r="AC251" s="452"/>
      <c r="AD251" s="452"/>
      <c r="AE251" s="452"/>
      <c r="AF251" s="452"/>
      <c r="AG251" s="452"/>
      <c r="AH251" s="452"/>
      <c r="AI251" s="452"/>
      <c r="AJ251" s="454"/>
      <c r="AK251" s="454">
        <f t="shared" si="38"/>
        <v>0</v>
      </c>
      <c r="AL251" s="454">
        <f t="shared" si="39"/>
        <v>0</v>
      </c>
      <c r="AM251" s="454">
        <v>1110</v>
      </c>
      <c r="AN251" s="454">
        <v>1000</v>
      </c>
      <c r="AO251" s="454"/>
      <c r="AP251" s="454"/>
      <c r="AQ251" s="452"/>
      <c r="AR251" s="452"/>
      <c r="AS251" s="494">
        <v>1110</v>
      </c>
      <c r="AT251" s="494">
        <v>1000</v>
      </c>
      <c r="AU251" s="495"/>
      <c r="AV251" s="495"/>
      <c r="AW251" s="147"/>
      <c r="AX251" s="119"/>
      <c r="BB251" s="119">
        <v>1</v>
      </c>
      <c r="BC251" s="119">
        <v>6</v>
      </c>
    </row>
    <row r="252" spans="1:55" ht="31.5" x14ac:dyDescent="0.25">
      <c r="A252" s="448" t="s">
        <v>851</v>
      </c>
      <c r="B252" s="449" t="s">
        <v>1141</v>
      </c>
      <c r="C252" s="450" t="s">
        <v>1080</v>
      </c>
      <c r="D252" s="450"/>
      <c r="E252" s="450">
        <v>2019</v>
      </c>
      <c r="F252" s="450"/>
      <c r="G252" s="452"/>
      <c r="H252" s="452"/>
      <c r="I252" s="492"/>
      <c r="J252" s="492"/>
      <c r="K252" s="492"/>
      <c r="L252" s="492"/>
      <c r="M252" s="492"/>
      <c r="N252" s="492"/>
      <c r="O252" s="492"/>
      <c r="P252" s="492"/>
      <c r="Q252" s="492"/>
      <c r="R252" s="492"/>
      <c r="S252" s="492"/>
      <c r="T252" s="492"/>
      <c r="U252" s="492"/>
      <c r="V252" s="492"/>
      <c r="W252" s="492"/>
      <c r="X252" s="453">
        <v>750</v>
      </c>
      <c r="Y252" s="453">
        <v>750</v>
      </c>
      <c r="Z252" s="453"/>
      <c r="AA252" s="453"/>
      <c r="AB252" s="453"/>
      <c r="AC252" s="452"/>
      <c r="AD252" s="452"/>
      <c r="AE252" s="452"/>
      <c r="AF252" s="452"/>
      <c r="AG252" s="452"/>
      <c r="AH252" s="452"/>
      <c r="AI252" s="452"/>
      <c r="AJ252" s="454"/>
      <c r="AK252" s="454">
        <f t="shared" si="38"/>
        <v>0</v>
      </c>
      <c r="AL252" s="454">
        <f t="shared" si="39"/>
        <v>0</v>
      </c>
      <c r="AM252" s="454">
        <v>1220</v>
      </c>
      <c r="AN252" s="454">
        <v>750</v>
      </c>
      <c r="AO252" s="454"/>
      <c r="AP252" s="454"/>
      <c r="AQ252" s="452"/>
      <c r="AR252" s="452"/>
      <c r="AS252" s="494">
        <v>1220</v>
      </c>
      <c r="AT252" s="494">
        <v>750</v>
      </c>
      <c r="AU252" s="495"/>
      <c r="AV252" s="495"/>
      <c r="AW252" s="147"/>
      <c r="AX252" s="119"/>
      <c r="BB252" s="119">
        <v>1</v>
      </c>
      <c r="BC252" s="119">
        <v>6</v>
      </c>
    </row>
    <row r="253" spans="1:55" ht="31.5" x14ac:dyDescent="0.25">
      <c r="A253" s="448" t="s">
        <v>853</v>
      </c>
      <c r="B253" s="449" t="s">
        <v>1142</v>
      </c>
      <c r="C253" s="450" t="s">
        <v>1075</v>
      </c>
      <c r="D253" s="450"/>
      <c r="E253" s="450">
        <v>2019</v>
      </c>
      <c r="F253" s="450"/>
      <c r="G253" s="452"/>
      <c r="H253" s="452"/>
      <c r="I253" s="492"/>
      <c r="J253" s="492"/>
      <c r="K253" s="492"/>
      <c r="L253" s="492"/>
      <c r="M253" s="492"/>
      <c r="N253" s="492"/>
      <c r="O253" s="492"/>
      <c r="P253" s="492"/>
      <c r="Q253" s="492"/>
      <c r="R253" s="492"/>
      <c r="S253" s="492"/>
      <c r="T253" s="492"/>
      <c r="U253" s="492"/>
      <c r="V253" s="492"/>
      <c r="W253" s="492"/>
      <c r="X253" s="453">
        <v>1100</v>
      </c>
      <c r="Y253" s="453">
        <v>1100</v>
      </c>
      <c r="Z253" s="453"/>
      <c r="AA253" s="453"/>
      <c r="AB253" s="453"/>
      <c r="AC253" s="452"/>
      <c r="AD253" s="452"/>
      <c r="AE253" s="452"/>
      <c r="AF253" s="452"/>
      <c r="AG253" s="452"/>
      <c r="AH253" s="452"/>
      <c r="AI253" s="452"/>
      <c r="AJ253" s="454"/>
      <c r="AK253" s="454">
        <f t="shared" si="38"/>
        <v>0</v>
      </c>
      <c r="AL253" s="454">
        <f t="shared" si="39"/>
        <v>0</v>
      </c>
      <c r="AM253" s="454">
        <v>1220</v>
      </c>
      <c r="AN253" s="454">
        <v>1100</v>
      </c>
      <c r="AO253" s="454"/>
      <c r="AP253" s="454"/>
      <c r="AQ253" s="452"/>
      <c r="AR253" s="452"/>
      <c r="AS253" s="494">
        <v>1220</v>
      </c>
      <c r="AT253" s="494">
        <v>1100</v>
      </c>
      <c r="AU253" s="495"/>
      <c r="AV253" s="495"/>
      <c r="AW253" s="147"/>
      <c r="AX253" s="119"/>
      <c r="BB253" s="119">
        <v>1</v>
      </c>
      <c r="BC253" s="119">
        <v>6</v>
      </c>
    </row>
    <row r="254" spans="1:55" ht="47.25" x14ac:dyDescent="0.25">
      <c r="A254" s="448" t="s">
        <v>855</v>
      </c>
      <c r="B254" s="449" t="s">
        <v>1143</v>
      </c>
      <c r="C254" s="450" t="s">
        <v>1126</v>
      </c>
      <c r="D254" s="450"/>
      <c r="E254" s="450">
        <v>2019</v>
      </c>
      <c r="F254" s="450"/>
      <c r="G254" s="452"/>
      <c r="H254" s="452"/>
      <c r="I254" s="492"/>
      <c r="J254" s="492"/>
      <c r="K254" s="492"/>
      <c r="L254" s="492"/>
      <c r="M254" s="492"/>
      <c r="N254" s="492"/>
      <c r="O254" s="492"/>
      <c r="P254" s="492"/>
      <c r="Q254" s="492"/>
      <c r="R254" s="492"/>
      <c r="S254" s="492"/>
      <c r="T254" s="492"/>
      <c r="U254" s="492"/>
      <c r="V254" s="492"/>
      <c r="W254" s="492"/>
      <c r="X254" s="453">
        <v>2000</v>
      </c>
      <c r="Y254" s="453">
        <v>2000</v>
      </c>
      <c r="Z254" s="453"/>
      <c r="AA254" s="453"/>
      <c r="AB254" s="453"/>
      <c r="AC254" s="452"/>
      <c r="AD254" s="452"/>
      <c r="AE254" s="452"/>
      <c r="AF254" s="452"/>
      <c r="AG254" s="452"/>
      <c r="AH254" s="452"/>
      <c r="AI254" s="452"/>
      <c r="AJ254" s="454"/>
      <c r="AK254" s="454">
        <f t="shared" si="38"/>
        <v>0</v>
      </c>
      <c r="AL254" s="454">
        <f t="shared" si="39"/>
        <v>0</v>
      </c>
      <c r="AM254" s="454">
        <v>2230</v>
      </c>
      <c r="AN254" s="454">
        <v>2000</v>
      </c>
      <c r="AO254" s="454"/>
      <c r="AP254" s="454"/>
      <c r="AQ254" s="452"/>
      <c r="AR254" s="452"/>
      <c r="AS254" s="494">
        <v>2230</v>
      </c>
      <c r="AT254" s="494">
        <v>2000</v>
      </c>
      <c r="AU254" s="495"/>
      <c r="AV254" s="495"/>
      <c r="AW254" s="147"/>
      <c r="AX254" s="119"/>
      <c r="BB254" s="119">
        <v>1</v>
      </c>
      <c r="BC254" s="119">
        <v>6</v>
      </c>
    </row>
    <row r="255" spans="1:55" ht="47.25" x14ac:dyDescent="0.25">
      <c r="A255" s="448" t="s">
        <v>857</v>
      </c>
      <c r="B255" s="449" t="s">
        <v>1144</v>
      </c>
      <c r="C255" s="450" t="s">
        <v>1116</v>
      </c>
      <c r="D255" s="450"/>
      <c r="E255" s="450">
        <v>2019</v>
      </c>
      <c r="F255" s="450"/>
      <c r="G255" s="452"/>
      <c r="H255" s="452"/>
      <c r="I255" s="492"/>
      <c r="J255" s="492"/>
      <c r="K255" s="492"/>
      <c r="L255" s="492"/>
      <c r="M255" s="492"/>
      <c r="N255" s="492"/>
      <c r="O255" s="492"/>
      <c r="P255" s="492"/>
      <c r="Q255" s="492"/>
      <c r="R255" s="492"/>
      <c r="S255" s="492"/>
      <c r="T255" s="492"/>
      <c r="U255" s="492"/>
      <c r="V255" s="492"/>
      <c r="W255" s="492"/>
      <c r="X255" s="453">
        <v>2500</v>
      </c>
      <c r="Y255" s="453">
        <v>2500</v>
      </c>
      <c r="Z255" s="453"/>
      <c r="AA255" s="453"/>
      <c r="AB255" s="453"/>
      <c r="AC255" s="452"/>
      <c r="AD255" s="452"/>
      <c r="AE255" s="452"/>
      <c r="AF255" s="452"/>
      <c r="AG255" s="452"/>
      <c r="AH255" s="452"/>
      <c r="AI255" s="452"/>
      <c r="AJ255" s="454"/>
      <c r="AK255" s="454">
        <f t="shared" si="38"/>
        <v>0</v>
      </c>
      <c r="AL255" s="454">
        <f t="shared" si="39"/>
        <v>0</v>
      </c>
      <c r="AM255" s="454">
        <v>2770</v>
      </c>
      <c r="AN255" s="454">
        <v>2500</v>
      </c>
      <c r="AO255" s="454"/>
      <c r="AP255" s="454"/>
      <c r="AQ255" s="452"/>
      <c r="AR255" s="452"/>
      <c r="AS255" s="494">
        <v>2770</v>
      </c>
      <c r="AT255" s="494">
        <v>2500</v>
      </c>
      <c r="AU255" s="495"/>
      <c r="AV255" s="495"/>
      <c r="AW255" s="147"/>
      <c r="AX255" s="119"/>
      <c r="BB255" s="119">
        <v>1</v>
      </c>
      <c r="BC255" s="119">
        <v>6</v>
      </c>
    </row>
    <row r="256" spans="1:55" ht="47.25" x14ac:dyDescent="0.25">
      <c r="A256" s="448" t="s">
        <v>859</v>
      </c>
      <c r="B256" s="449" t="s">
        <v>1145</v>
      </c>
      <c r="C256" s="450" t="s">
        <v>1146</v>
      </c>
      <c r="D256" s="450"/>
      <c r="E256" s="450">
        <v>2019</v>
      </c>
      <c r="F256" s="450"/>
      <c r="G256" s="452"/>
      <c r="H256" s="452"/>
      <c r="I256" s="492"/>
      <c r="J256" s="492"/>
      <c r="K256" s="492"/>
      <c r="L256" s="492"/>
      <c r="M256" s="492"/>
      <c r="N256" s="492"/>
      <c r="O256" s="492"/>
      <c r="P256" s="492"/>
      <c r="Q256" s="492"/>
      <c r="R256" s="492"/>
      <c r="S256" s="492"/>
      <c r="T256" s="492"/>
      <c r="U256" s="492"/>
      <c r="V256" s="492"/>
      <c r="W256" s="492"/>
      <c r="X256" s="453">
        <v>2500</v>
      </c>
      <c r="Y256" s="453">
        <v>2500</v>
      </c>
      <c r="Z256" s="453"/>
      <c r="AA256" s="453"/>
      <c r="AB256" s="453"/>
      <c r="AC256" s="452"/>
      <c r="AD256" s="452"/>
      <c r="AE256" s="452"/>
      <c r="AF256" s="452"/>
      <c r="AG256" s="452"/>
      <c r="AH256" s="452"/>
      <c r="AI256" s="452"/>
      <c r="AJ256" s="454"/>
      <c r="AK256" s="454">
        <f t="shared" si="38"/>
        <v>0</v>
      </c>
      <c r="AL256" s="454">
        <f t="shared" si="39"/>
        <v>0</v>
      </c>
      <c r="AM256" s="454">
        <v>2770</v>
      </c>
      <c r="AN256" s="454">
        <v>2500</v>
      </c>
      <c r="AO256" s="454"/>
      <c r="AP256" s="454"/>
      <c r="AQ256" s="452"/>
      <c r="AR256" s="452"/>
      <c r="AS256" s="494">
        <v>2770</v>
      </c>
      <c r="AT256" s="494">
        <v>2500</v>
      </c>
      <c r="AU256" s="495"/>
      <c r="AV256" s="495"/>
      <c r="AW256" s="147"/>
      <c r="AX256" s="119"/>
      <c r="BB256" s="119">
        <v>1</v>
      </c>
      <c r="BC256" s="119">
        <v>6</v>
      </c>
    </row>
    <row r="257" spans="1:55" ht="31.5" x14ac:dyDescent="0.25">
      <c r="A257" s="448" t="s">
        <v>861</v>
      </c>
      <c r="B257" s="449" t="s">
        <v>1147</v>
      </c>
      <c r="C257" s="450" t="s">
        <v>1148</v>
      </c>
      <c r="D257" s="450"/>
      <c r="E257" s="450">
        <v>2019</v>
      </c>
      <c r="F257" s="450"/>
      <c r="G257" s="452"/>
      <c r="H257" s="452"/>
      <c r="I257" s="492"/>
      <c r="J257" s="492"/>
      <c r="K257" s="492"/>
      <c r="L257" s="492"/>
      <c r="M257" s="492"/>
      <c r="N257" s="492"/>
      <c r="O257" s="492"/>
      <c r="P257" s="492"/>
      <c r="Q257" s="492"/>
      <c r="R257" s="492"/>
      <c r="S257" s="492"/>
      <c r="T257" s="492"/>
      <c r="U257" s="492"/>
      <c r="V257" s="492"/>
      <c r="W257" s="492"/>
      <c r="X257" s="453">
        <v>2500</v>
      </c>
      <c r="Y257" s="453">
        <v>2500</v>
      </c>
      <c r="Z257" s="453"/>
      <c r="AA257" s="453"/>
      <c r="AB257" s="453"/>
      <c r="AC257" s="452"/>
      <c r="AD257" s="452"/>
      <c r="AE257" s="452"/>
      <c r="AF257" s="452"/>
      <c r="AG257" s="452"/>
      <c r="AH257" s="452"/>
      <c r="AI257" s="452"/>
      <c r="AJ257" s="454"/>
      <c r="AK257" s="454">
        <f t="shared" si="38"/>
        <v>0</v>
      </c>
      <c r="AL257" s="454">
        <f t="shared" si="39"/>
        <v>0</v>
      </c>
      <c r="AM257" s="454">
        <v>2770</v>
      </c>
      <c r="AN257" s="454">
        <v>2500</v>
      </c>
      <c r="AO257" s="454"/>
      <c r="AP257" s="454"/>
      <c r="AQ257" s="452"/>
      <c r="AR257" s="452"/>
      <c r="AS257" s="494">
        <v>2770</v>
      </c>
      <c r="AT257" s="494">
        <v>2500</v>
      </c>
      <c r="AU257" s="495"/>
      <c r="AV257" s="495"/>
      <c r="AW257" s="147"/>
      <c r="AX257" s="119"/>
      <c r="BB257" s="119">
        <v>1</v>
      </c>
      <c r="BC257" s="119">
        <v>6</v>
      </c>
    </row>
    <row r="258" spans="1:55" ht="47.25" x14ac:dyDescent="0.25">
      <c r="A258" s="448" t="s">
        <v>863</v>
      </c>
      <c r="B258" s="449" t="s">
        <v>1149</v>
      </c>
      <c r="C258" s="450" t="s">
        <v>1105</v>
      </c>
      <c r="D258" s="450"/>
      <c r="E258" s="450">
        <v>2019</v>
      </c>
      <c r="F258" s="450"/>
      <c r="G258" s="452"/>
      <c r="H258" s="452"/>
      <c r="I258" s="492"/>
      <c r="J258" s="492"/>
      <c r="K258" s="492"/>
      <c r="L258" s="492"/>
      <c r="M258" s="492"/>
      <c r="N258" s="492"/>
      <c r="O258" s="492"/>
      <c r="P258" s="492"/>
      <c r="Q258" s="492"/>
      <c r="R258" s="492"/>
      <c r="S258" s="492"/>
      <c r="T258" s="492"/>
      <c r="U258" s="492"/>
      <c r="V258" s="492"/>
      <c r="W258" s="492"/>
      <c r="X258" s="453">
        <v>800</v>
      </c>
      <c r="Y258" s="453">
        <v>800</v>
      </c>
      <c r="Z258" s="453"/>
      <c r="AA258" s="453"/>
      <c r="AB258" s="453"/>
      <c r="AC258" s="452"/>
      <c r="AD258" s="452"/>
      <c r="AE258" s="452"/>
      <c r="AF258" s="452"/>
      <c r="AG258" s="452"/>
      <c r="AH258" s="452"/>
      <c r="AI258" s="452"/>
      <c r="AJ258" s="454"/>
      <c r="AK258" s="454">
        <f t="shared" si="38"/>
        <v>0</v>
      </c>
      <c r="AL258" s="454">
        <f t="shared" si="39"/>
        <v>0</v>
      </c>
      <c r="AM258" s="454">
        <v>890</v>
      </c>
      <c r="AN258" s="454">
        <v>800</v>
      </c>
      <c r="AO258" s="454"/>
      <c r="AP258" s="454"/>
      <c r="AQ258" s="452"/>
      <c r="AR258" s="452"/>
      <c r="AS258" s="494">
        <v>890</v>
      </c>
      <c r="AT258" s="494">
        <v>800</v>
      </c>
      <c r="AU258" s="495"/>
      <c r="AV258" s="495"/>
      <c r="AW258" s="147"/>
      <c r="AX258" s="119"/>
      <c r="BB258" s="119">
        <v>1</v>
      </c>
      <c r="BC258" s="119">
        <v>6</v>
      </c>
    </row>
    <row r="259" spans="1:55" ht="47.25" x14ac:dyDescent="0.25">
      <c r="A259" s="448" t="s">
        <v>866</v>
      </c>
      <c r="B259" s="449" t="s">
        <v>1150</v>
      </c>
      <c r="C259" s="450" t="s">
        <v>1151</v>
      </c>
      <c r="D259" s="450"/>
      <c r="E259" s="450">
        <v>2019</v>
      </c>
      <c r="F259" s="450"/>
      <c r="G259" s="452"/>
      <c r="H259" s="452"/>
      <c r="I259" s="492"/>
      <c r="J259" s="492"/>
      <c r="K259" s="492"/>
      <c r="L259" s="492"/>
      <c r="M259" s="492"/>
      <c r="N259" s="492"/>
      <c r="O259" s="492"/>
      <c r="P259" s="492"/>
      <c r="Q259" s="492"/>
      <c r="R259" s="492"/>
      <c r="S259" s="492"/>
      <c r="T259" s="492"/>
      <c r="U259" s="492"/>
      <c r="V259" s="492"/>
      <c r="W259" s="492"/>
      <c r="X259" s="453">
        <v>870</v>
      </c>
      <c r="Y259" s="453">
        <v>870</v>
      </c>
      <c r="Z259" s="453"/>
      <c r="AA259" s="453"/>
      <c r="AB259" s="453"/>
      <c r="AC259" s="452"/>
      <c r="AD259" s="452"/>
      <c r="AE259" s="452"/>
      <c r="AF259" s="452"/>
      <c r="AG259" s="452"/>
      <c r="AH259" s="452"/>
      <c r="AI259" s="452"/>
      <c r="AJ259" s="454"/>
      <c r="AK259" s="454">
        <f t="shared" si="38"/>
        <v>0</v>
      </c>
      <c r="AL259" s="454">
        <f t="shared" si="39"/>
        <v>0</v>
      </c>
      <c r="AM259" s="454">
        <v>960</v>
      </c>
      <c r="AN259" s="454">
        <v>870</v>
      </c>
      <c r="AO259" s="454"/>
      <c r="AP259" s="454"/>
      <c r="AQ259" s="452"/>
      <c r="AR259" s="452"/>
      <c r="AS259" s="494">
        <v>960</v>
      </c>
      <c r="AT259" s="494">
        <v>870</v>
      </c>
      <c r="AU259" s="495"/>
      <c r="AV259" s="495"/>
      <c r="AW259" s="147"/>
      <c r="AX259" s="119"/>
      <c r="BB259" s="119">
        <v>1</v>
      </c>
      <c r="BC259" s="119">
        <v>6</v>
      </c>
    </row>
    <row r="260" spans="1:55" ht="31.5" x14ac:dyDescent="0.25">
      <c r="A260" s="448" t="s">
        <v>868</v>
      </c>
      <c r="B260" s="449" t="s">
        <v>1152</v>
      </c>
      <c r="C260" s="450" t="s">
        <v>1124</v>
      </c>
      <c r="D260" s="450"/>
      <c r="E260" s="450">
        <v>2019</v>
      </c>
      <c r="F260" s="450"/>
      <c r="G260" s="452"/>
      <c r="H260" s="452"/>
      <c r="I260" s="492"/>
      <c r="J260" s="492"/>
      <c r="K260" s="492"/>
      <c r="L260" s="492"/>
      <c r="M260" s="492"/>
      <c r="N260" s="492"/>
      <c r="O260" s="492"/>
      <c r="P260" s="492"/>
      <c r="Q260" s="492"/>
      <c r="R260" s="492"/>
      <c r="S260" s="492"/>
      <c r="T260" s="492"/>
      <c r="U260" s="492"/>
      <c r="V260" s="492"/>
      <c r="W260" s="492"/>
      <c r="X260" s="453">
        <v>2000</v>
      </c>
      <c r="Y260" s="453">
        <v>2000</v>
      </c>
      <c r="Z260" s="453"/>
      <c r="AA260" s="453"/>
      <c r="AB260" s="453"/>
      <c r="AC260" s="452"/>
      <c r="AD260" s="452"/>
      <c r="AE260" s="452"/>
      <c r="AF260" s="452"/>
      <c r="AG260" s="452"/>
      <c r="AH260" s="452"/>
      <c r="AI260" s="452"/>
      <c r="AJ260" s="454"/>
      <c r="AK260" s="454">
        <f t="shared" si="38"/>
        <v>0</v>
      </c>
      <c r="AL260" s="454">
        <f t="shared" si="39"/>
        <v>0</v>
      </c>
      <c r="AM260" s="454">
        <v>2220</v>
      </c>
      <c r="AN260" s="454">
        <v>2000</v>
      </c>
      <c r="AO260" s="454"/>
      <c r="AP260" s="454"/>
      <c r="AQ260" s="452"/>
      <c r="AR260" s="452"/>
      <c r="AS260" s="494">
        <v>2220</v>
      </c>
      <c r="AT260" s="494">
        <v>2000</v>
      </c>
      <c r="AU260" s="495"/>
      <c r="AV260" s="495"/>
      <c r="AW260" s="147"/>
      <c r="AX260" s="119"/>
      <c r="BB260" s="119">
        <v>1</v>
      </c>
      <c r="BC260" s="119">
        <v>6</v>
      </c>
    </row>
    <row r="261" spans="1:55" ht="31.5" x14ac:dyDescent="0.25">
      <c r="A261" s="448" t="s">
        <v>871</v>
      </c>
      <c r="B261" s="449" t="s">
        <v>1153</v>
      </c>
      <c r="C261" s="450" t="s">
        <v>1101</v>
      </c>
      <c r="D261" s="450"/>
      <c r="E261" s="450">
        <v>2019</v>
      </c>
      <c r="F261" s="450"/>
      <c r="G261" s="452"/>
      <c r="H261" s="452"/>
      <c r="I261" s="492"/>
      <c r="J261" s="492"/>
      <c r="K261" s="492"/>
      <c r="L261" s="492"/>
      <c r="M261" s="492"/>
      <c r="N261" s="492"/>
      <c r="O261" s="492"/>
      <c r="P261" s="492"/>
      <c r="Q261" s="492"/>
      <c r="R261" s="492"/>
      <c r="S261" s="492"/>
      <c r="T261" s="492"/>
      <c r="U261" s="492"/>
      <c r="V261" s="492"/>
      <c r="W261" s="492"/>
      <c r="X261" s="453">
        <v>870</v>
      </c>
      <c r="Y261" s="453">
        <v>870</v>
      </c>
      <c r="Z261" s="453"/>
      <c r="AA261" s="453"/>
      <c r="AB261" s="453"/>
      <c r="AC261" s="452"/>
      <c r="AD261" s="452"/>
      <c r="AE261" s="452"/>
      <c r="AF261" s="452"/>
      <c r="AG261" s="452"/>
      <c r="AH261" s="452"/>
      <c r="AI261" s="452"/>
      <c r="AJ261" s="454"/>
      <c r="AK261" s="454">
        <f t="shared" si="38"/>
        <v>0</v>
      </c>
      <c r="AL261" s="454">
        <f t="shared" si="39"/>
        <v>0</v>
      </c>
      <c r="AM261" s="454">
        <v>960</v>
      </c>
      <c r="AN261" s="454">
        <v>870</v>
      </c>
      <c r="AO261" s="454"/>
      <c r="AP261" s="454"/>
      <c r="AQ261" s="452"/>
      <c r="AR261" s="452"/>
      <c r="AS261" s="494">
        <v>960</v>
      </c>
      <c r="AT261" s="494">
        <v>870</v>
      </c>
      <c r="AU261" s="495"/>
      <c r="AV261" s="495"/>
      <c r="AW261" s="147"/>
      <c r="AX261" s="119"/>
      <c r="BB261" s="119">
        <v>1</v>
      </c>
      <c r="BC261" s="119">
        <v>6</v>
      </c>
    </row>
    <row r="262" spans="1:55" ht="31.5" x14ac:dyDescent="0.25">
      <c r="A262" s="448" t="s">
        <v>874</v>
      </c>
      <c r="B262" s="449" t="s">
        <v>1154</v>
      </c>
      <c r="C262" s="450" t="s">
        <v>1155</v>
      </c>
      <c r="D262" s="450"/>
      <c r="E262" s="450">
        <v>2019</v>
      </c>
      <c r="F262" s="450"/>
      <c r="G262" s="452"/>
      <c r="H262" s="452"/>
      <c r="I262" s="492"/>
      <c r="J262" s="492"/>
      <c r="K262" s="492"/>
      <c r="L262" s="492"/>
      <c r="M262" s="492"/>
      <c r="N262" s="492"/>
      <c r="O262" s="492"/>
      <c r="P262" s="492"/>
      <c r="Q262" s="492"/>
      <c r="R262" s="492"/>
      <c r="S262" s="492"/>
      <c r="T262" s="492"/>
      <c r="U262" s="492"/>
      <c r="V262" s="492"/>
      <c r="W262" s="492"/>
      <c r="X262" s="453">
        <v>2500</v>
      </c>
      <c r="Y262" s="453">
        <v>2500</v>
      </c>
      <c r="Z262" s="453"/>
      <c r="AA262" s="453"/>
      <c r="AB262" s="453"/>
      <c r="AC262" s="452"/>
      <c r="AD262" s="452"/>
      <c r="AE262" s="452"/>
      <c r="AF262" s="452"/>
      <c r="AG262" s="452"/>
      <c r="AH262" s="452"/>
      <c r="AI262" s="452"/>
      <c r="AJ262" s="454"/>
      <c r="AK262" s="454">
        <f t="shared" si="38"/>
        <v>0</v>
      </c>
      <c r="AL262" s="454">
        <f t="shared" si="39"/>
        <v>0</v>
      </c>
      <c r="AM262" s="454">
        <v>2770</v>
      </c>
      <c r="AN262" s="454">
        <v>2500</v>
      </c>
      <c r="AO262" s="454"/>
      <c r="AP262" s="454"/>
      <c r="AQ262" s="452"/>
      <c r="AR262" s="452"/>
      <c r="AS262" s="494">
        <v>2770</v>
      </c>
      <c r="AT262" s="494">
        <v>2500</v>
      </c>
      <c r="AU262" s="495"/>
      <c r="AV262" s="495"/>
      <c r="AW262" s="147"/>
      <c r="AX262" s="119"/>
      <c r="BB262" s="119">
        <v>1</v>
      </c>
      <c r="BC262" s="119">
        <v>6</v>
      </c>
    </row>
    <row r="263" spans="1:55" ht="63" x14ac:dyDescent="0.25">
      <c r="A263" s="448" t="s">
        <v>876</v>
      </c>
      <c r="B263" s="449" t="s">
        <v>1156</v>
      </c>
      <c r="C263" s="450" t="s">
        <v>1146</v>
      </c>
      <c r="D263" s="450"/>
      <c r="E263" s="450">
        <v>2019</v>
      </c>
      <c r="F263" s="450"/>
      <c r="G263" s="452"/>
      <c r="H263" s="452"/>
      <c r="I263" s="492"/>
      <c r="J263" s="492"/>
      <c r="K263" s="492"/>
      <c r="L263" s="492"/>
      <c r="M263" s="492"/>
      <c r="N263" s="492"/>
      <c r="O263" s="492"/>
      <c r="P263" s="492"/>
      <c r="Q263" s="492"/>
      <c r="R263" s="492"/>
      <c r="S263" s="492"/>
      <c r="T263" s="492"/>
      <c r="U263" s="492"/>
      <c r="V263" s="492"/>
      <c r="W263" s="492"/>
      <c r="X263" s="453">
        <v>870</v>
      </c>
      <c r="Y263" s="453">
        <v>870</v>
      </c>
      <c r="Z263" s="453"/>
      <c r="AA263" s="453"/>
      <c r="AB263" s="453"/>
      <c r="AC263" s="452"/>
      <c r="AD263" s="452"/>
      <c r="AE263" s="452"/>
      <c r="AF263" s="452"/>
      <c r="AG263" s="452"/>
      <c r="AH263" s="452"/>
      <c r="AI263" s="452"/>
      <c r="AJ263" s="454"/>
      <c r="AK263" s="454">
        <f t="shared" si="38"/>
        <v>0</v>
      </c>
      <c r="AL263" s="454">
        <f t="shared" si="39"/>
        <v>0</v>
      </c>
      <c r="AM263" s="454">
        <v>960</v>
      </c>
      <c r="AN263" s="454">
        <v>870</v>
      </c>
      <c r="AO263" s="454"/>
      <c r="AP263" s="454"/>
      <c r="AQ263" s="452"/>
      <c r="AR263" s="452"/>
      <c r="AS263" s="494">
        <v>960</v>
      </c>
      <c r="AT263" s="494">
        <v>870</v>
      </c>
      <c r="AU263" s="495"/>
      <c r="AV263" s="495"/>
      <c r="AW263" s="147"/>
      <c r="AX263" s="119"/>
      <c r="BB263" s="119">
        <v>1</v>
      </c>
      <c r="BC263" s="119">
        <v>6</v>
      </c>
    </row>
    <row r="264" spans="1:55" ht="31.5" x14ac:dyDescent="0.25">
      <c r="A264" s="448" t="s">
        <v>878</v>
      </c>
      <c r="B264" s="449" t="s">
        <v>1157</v>
      </c>
      <c r="C264" s="450" t="s">
        <v>1121</v>
      </c>
      <c r="D264" s="450"/>
      <c r="E264" s="450">
        <v>2019</v>
      </c>
      <c r="F264" s="450"/>
      <c r="G264" s="452"/>
      <c r="H264" s="452"/>
      <c r="I264" s="492"/>
      <c r="J264" s="492"/>
      <c r="K264" s="492"/>
      <c r="L264" s="492"/>
      <c r="M264" s="492"/>
      <c r="N264" s="492"/>
      <c r="O264" s="492"/>
      <c r="P264" s="492"/>
      <c r="Q264" s="492"/>
      <c r="R264" s="492"/>
      <c r="S264" s="492"/>
      <c r="T264" s="492"/>
      <c r="U264" s="492"/>
      <c r="V264" s="492"/>
      <c r="W264" s="492"/>
      <c r="X264" s="453">
        <v>1500</v>
      </c>
      <c r="Y264" s="453">
        <v>1500</v>
      </c>
      <c r="Z264" s="453"/>
      <c r="AA264" s="453"/>
      <c r="AB264" s="453"/>
      <c r="AC264" s="452"/>
      <c r="AD264" s="452"/>
      <c r="AE264" s="452"/>
      <c r="AF264" s="452"/>
      <c r="AG264" s="452"/>
      <c r="AH264" s="452"/>
      <c r="AI264" s="452"/>
      <c r="AJ264" s="454"/>
      <c r="AK264" s="454">
        <f t="shared" si="38"/>
        <v>0</v>
      </c>
      <c r="AL264" s="454">
        <f t="shared" si="39"/>
        <v>0</v>
      </c>
      <c r="AM264" s="454">
        <v>1670</v>
      </c>
      <c r="AN264" s="454">
        <v>1500</v>
      </c>
      <c r="AO264" s="454"/>
      <c r="AP264" s="454"/>
      <c r="AQ264" s="452"/>
      <c r="AR264" s="452"/>
      <c r="AS264" s="494">
        <v>1670</v>
      </c>
      <c r="AT264" s="494">
        <v>1500</v>
      </c>
      <c r="AU264" s="495"/>
      <c r="AV264" s="495"/>
      <c r="AW264" s="147"/>
      <c r="AX264" s="119"/>
      <c r="BB264" s="119">
        <v>1</v>
      </c>
      <c r="BC264" s="119">
        <v>6</v>
      </c>
    </row>
    <row r="265" spans="1:55" ht="31.5" x14ac:dyDescent="0.25">
      <c r="A265" s="448" t="s">
        <v>881</v>
      </c>
      <c r="B265" s="449" t="s">
        <v>1158</v>
      </c>
      <c r="C265" s="450" t="s">
        <v>1128</v>
      </c>
      <c r="D265" s="450"/>
      <c r="E265" s="450">
        <v>2019</v>
      </c>
      <c r="F265" s="450"/>
      <c r="G265" s="452"/>
      <c r="H265" s="452"/>
      <c r="I265" s="492"/>
      <c r="J265" s="492"/>
      <c r="K265" s="492"/>
      <c r="L265" s="492"/>
      <c r="M265" s="492"/>
      <c r="N265" s="492"/>
      <c r="O265" s="492"/>
      <c r="P265" s="492"/>
      <c r="Q265" s="492"/>
      <c r="R265" s="492"/>
      <c r="S265" s="492"/>
      <c r="T265" s="492"/>
      <c r="U265" s="492"/>
      <c r="V265" s="492"/>
      <c r="W265" s="492"/>
      <c r="X265" s="453">
        <v>2500</v>
      </c>
      <c r="Y265" s="453">
        <v>2500</v>
      </c>
      <c r="Z265" s="453"/>
      <c r="AA265" s="453"/>
      <c r="AB265" s="453"/>
      <c r="AC265" s="452"/>
      <c r="AD265" s="452"/>
      <c r="AE265" s="452"/>
      <c r="AF265" s="452"/>
      <c r="AG265" s="452"/>
      <c r="AH265" s="452"/>
      <c r="AI265" s="452"/>
      <c r="AJ265" s="454"/>
      <c r="AK265" s="454">
        <f t="shared" si="38"/>
        <v>0</v>
      </c>
      <c r="AL265" s="454">
        <f t="shared" si="39"/>
        <v>0</v>
      </c>
      <c r="AM265" s="454">
        <v>2780</v>
      </c>
      <c r="AN265" s="454">
        <v>2500</v>
      </c>
      <c r="AO265" s="454"/>
      <c r="AP265" s="454"/>
      <c r="AQ265" s="452"/>
      <c r="AR265" s="452"/>
      <c r="AS265" s="494">
        <v>2780</v>
      </c>
      <c r="AT265" s="494">
        <v>2500</v>
      </c>
      <c r="AU265" s="495"/>
      <c r="AV265" s="495"/>
      <c r="AW265" s="147"/>
      <c r="AX265" s="119"/>
      <c r="BB265" s="119">
        <v>1</v>
      </c>
      <c r="BC265" s="119">
        <v>6</v>
      </c>
    </row>
    <row r="266" spans="1:55" ht="31.5" x14ac:dyDescent="0.25">
      <c r="A266" s="448" t="s">
        <v>884</v>
      </c>
      <c r="B266" s="449" t="s">
        <v>1159</v>
      </c>
      <c r="C266" s="450" t="s">
        <v>1095</v>
      </c>
      <c r="D266" s="450"/>
      <c r="E266" s="450">
        <v>2019</v>
      </c>
      <c r="F266" s="450"/>
      <c r="G266" s="452"/>
      <c r="H266" s="452"/>
      <c r="I266" s="492"/>
      <c r="J266" s="492"/>
      <c r="K266" s="492"/>
      <c r="L266" s="492"/>
      <c r="M266" s="492"/>
      <c r="N266" s="492"/>
      <c r="O266" s="492"/>
      <c r="P266" s="492"/>
      <c r="Q266" s="492"/>
      <c r="R266" s="492"/>
      <c r="S266" s="492"/>
      <c r="T266" s="492"/>
      <c r="U266" s="492"/>
      <c r="V266" s="492"/>
      <c r="W266" s="492"/>
      <c r="X266" s="453">
        <v>870</v>
      </c>
      <c r="Y266" s="453">
        <v>870</v>
      </c>
      <c r="Z266" s="453"/>
      <c r="AA266" s="453"/>
      <c r="AB266" s="453"/>
      <c r="AC266" s="452"/>
      <c r="AD266" s="452"/>
      <c r="AE266" s="452"/>
      <c r="AF266" s="452"/>
      <c r="AG266" s="452"/>
      <c r="AH266" s="452"/>
      <c r="AI266" s="452"/>
      <c r="AJ266" s="454"/>
      <c r="AK266" s="454">
        <f t="shared" si="38"/>
        <v>0</v>
      </c>
      <c r="AL266" s="454">
        <f t="shared" si="39"/>
        <v>0</v>
      </c>
      <c r="AM266" s="454">
        <v>960</v>
      </c>
      <c r="AN266" s="454">
        <v>870</v>
      </c>
      <c r="AO266" s="454"/>
      <c r="AP266" s="454"/>
      <c r="AQ266" s="452"/>
      <c r="AR266" s="452"/>
      <c r="AS266" s="494">
        <v>960</v>
      </c>
      <c r="AT266" s="494">
        <v>870</v>
      </c>
      <c r="AU266" s="495"/>
      <c r="AV266" s="495"/>
      <c r="AW266" s="147"/>
      <c r="AX266" s="119"/>
      <c r="BB266" s="119">
        <v>1</v>
      </c>
      <c r="BC266" s="119">
        <v>6</v>
      </c>
    </row>
    <row r="267" spans="1:55" ht="31.5" x14ac:dyDescent="0.25">
      <c r="A267" s="448" t="s">
        <v>886</v>
      </c>
      <c r="B267" s="449" t="s">
        <v>1160</v>
      </c>
      <c r="C267" s="450" t="s">
        <v>1119</v>
      </c>
      <c r="D267" s="450"/>
      <c r="E267" s="450">
        <v>2019</v>
      </c>
      <c r="F267" s="450"/>
      <c r="G267" s="452"/>
      <c r="H267" s="452"/>
      <c r="I267" s="492"/>
      <c r="J267" s="492"/>
      <c r="K267" s="492"/>
      <c r="L267" s="492"/>
      <c r="M267" s="492"/>
      <c r="N267" s="492"/>
      <c r="O267" s="492"/>
      <c r="P267" s="492"/>
      <c r="Q267" s="492"/>
      <c r="R267" s="492"/>
      <c r="S267" s="492"/>
      <c r="T267" s="492"/>
      <c r="U267" s="492"/>
      <c r="V267" s="492"/>
      <c r="W267" s="492"/>
      <c r="X267" s="453">
        <v>853</v>
      </c>
      <c r="Y267" s="453">
        <v>853</v>
      </c>
      <c r="Z267" s="453"/>
      <c r="AA267" s="453"/>
      <c r="AB267" s="453"/>
      <c r="AC267" s="452"/>
      <c r="AD267" s="452"/>
      <c r="AE267" s="452"/>
      <c r="AF267" s="452"/>
      <c r="AG267" s="452"/>
      <c r="AH267" s="452"/>
      <c r="AI267" s="452"/>
      <c r="AJ267" s="454"/>
      <c r="AK267" s="454">
        <f t="shared" si="38"/>
        <v>0</v>
      </c>
      <c r="AL267" s="454">
        <f t="shared" si="39"/>
        <v>0</v>
      </c>
      <c r="AM267" s="454">
        <v>943</v>
      </c>
      <c r="AN267" s="454">
        <v>853</v>
      </c>
      <c r="AO267" s="454"/>
      <c r="AP267" s="454"/>
      <c r="AQ267" s="452"/>
      <c r="AR267" s="452"/>
      <c r="AS267" s="494">
        <v>943</v>
      </c>
      <c r="AT267" s="494">
        <v>853</v>
      </c>
      <c r="AU267" s="495"/>
      <c r="AV267" s="495"/>
      <c r="AW267" s="147"/>
      <c r="AX267" s="119"/>
      <c r="BB267" s="119">
        <v>1</v>
      </c>
      <c r="BC267" s="119">
        <v>6</v>
      </c>
    </row>
    <row r="268" spans="1:55" ht="47.25" x14ac:dyDescent="0.25">
      <c r="A268" s="448" t="s">
        <v>888</v>
      </c>
      <c r="B268" s="449" t="s">
        <v>1161</v>
      </c>
      <c r="C268" s="450" t="s">
        <v>1062</v>
      </c>
      <c r="D268" s="450"/>
      <c r="E268" s="450">
        <v>2019</v>
      </c>
      <c r="F268" s="450"/>
      <c r="G268" s="452"/>
      <c r="H268" s="452"/>
      <c r="I268" s="492"/>
      <c r="J268" s="492"/>
      <c r="K268" s="492"/>
      <c r="L268" s="492"/>
      <c r="M268" s="492"/>
      <c r="N268" s="492"/>
      <c r="O268" s="492"/>
      <c r="P268" s="492"/>
      <c r="Q268" s="492"/>
      <c r="R268" s="492"/>
      <c r="S268" s="492"/>
      <c r="T268" s="492"/>
      <c r="U268" s="492"/>
      <c r="V268" s="492"/>
      <c r="W268" s="492"/>
      <c r="X268" s="453">
        <v>728</v>
      </c>
      <c r="Y268" s="453">
        <v>728</v>
      </c>
      <c r="Z268" s="453"/>
      <c r="AA268" s="453"/>
      <c r="AB268" s="453"/>
      <c r="AC268" s="452"/>
      <c r="AD268" s="452"/>
      <c r="AE268" s="452"/>
      <c r="AF268" s="452"/>
      <c r="AG268" s="452"/>
      <c r="AH268" s="452"/>
      <c r="AI268" s="452"/>
      <c r="AJ268" s="454"/>
      <c r="AK268" s="454">
        <f t="shared" si="38"/>
        <v>0</v>
      </c>
      <c r="AL268" s="454">
        <f t="shared" si="39"/>
        <v>0</v>
      </c>
      <c r="AM268" s="454">
        <v>808</v>
      </c>
      <c r="AN268" s="454">
        <v>728</v>
      </c>
      <c r="AO268" s="454"/>
      <c r="AP268" s="454"/>
      <c r="AQ268" s="452"/>
      <c r="AR268" s="452"/>
      <c r="AS268" s="494">
        <v>808</v>
      </c>
      <c r="AT268" s="494">
        <v>728</v>
      </c>
      <c r="AU268" s="495"/>
      <c r="AV268" s="495"/>
      <c r="AW268" s="147"/>
      <c r="AX268" s="119"/>
      <c r="BB268" s="119">
        <v>1</v>
      </c>
      <c r="BC268" s="119">
        <v>6</v>
      </c>
    </row>
    <row r="269" spans="1:55" ht="63" x14ac:dyDescent="0.25">
      <c r="A269" s="448" t="s">
        <v>891</v>
      </c>
      <c r="B269" s="449" t="s">
        <v>1162</v>
      </c>
      <c r="C269" s="450" t="s">
        <v>1139</v>
      </c>
      <c r="D269" s="450"/>
      <c r="E269" s="450">
        <v>2019</v>
      </c>
      <c r="F269" s="450"/>
      <c r="G269" s="452"/>
      <c r="H269" s="452"/>
      <c r="I269" s="492"/>
      <c r="J269" s="492"/>
      <c r="K269" s="492"/>
      <c r="L269" s="492"/>
      <c r="M269" s="492"/>
      <c r="N269" s="492"/>
      <c r="O269" s="492"/>
      <c r="P269" s="492"/>
      <c r="Q269" s="492"/>
      <c r="R269" s="492"/>
      <c r="S269" s="492"/>
      <c r="T269" s="492"/>
      <c r="U269" s="492"/>
      <c r="V269" s="492"/>
      <c r="W269" s="492"/>
      <c r="X269" s="453">
        <v>800</v>
      </c>
      <c r="Y269" s="453">
        <v>800</v>
      </c>
      <c r="Z269" s="453"/>
      <c r="AA269" s="453"/>
      <c r="AB269" s="453"/>
      <c r="AC269" s="452"/>
      <c r="AD269" s="452"/>
      <c r="AE269" s="452"/>
      <c r="AF269" s="452"/>
      <c r="AG269" s="452"/>
      <c r="AH269" s="452"/>
      <c r="AI269" s="452"/>
      <c r="AJ269" s="454"/>
      <c r="AK269" s="454">
        <f t="shared" si="38"/>
        <v>0</v>
      </c>
      <c r="AL269" s="454">
        <f t="shared" si="39"/>
        <v>0</v>
      </c>
      <c r="AM269" s="454">
        <v>888</v>
      </c>
      <c r="AN269" s="454">
        <v>800</v>
      </c>
      <c r="AO269" s="454"/>
      <c r="AP269" s="454"/>
      <c r="AQ269" s="452"/>
      <c r="AR269" s="452"/>
      <c r="AS269" s="494">
        <v>888</v>
      </c>
      <c r="AT269" s="494">
        <v>800</v>
      </c>
      <c r="AU269" s="495"/>
      <c r="AV269" s="495"/>
      <c r="AW269" s="147"/>
      <c r="AX269" s="119"/>
      <c r="BB269" s="119">
        <v>1</v>
      </c>
      <c r="BC269" s="119">
        <v>6</v>
      </c>
    </row>
    <row r="270" spans="1:55" ht="47.25" x14ac:dyDescent="0.25">
      <c r="A270" s="448" t="s">
        <v>894</v>
      </c>
      <c r="B270" s="449" t="s">
        <v>1163</v>
      </c>
      <c r="C270" s="450" t="s">
        <v>1164</v>
      </c>
      <c r="D270" s="450"/>
      <c r="E270" s="450">
        <v>2019</v>
      </c>
      <c r="F270" s="450"/>
      <c r="G270" s="452"/>
      <c r="H270" s="452"/>
      <c r="I270" s="492"/>
      <c r="J270" s="492"/>
      <c r="K270" s="492"/>
      <c r="L270" s="492"/>
      <c r="M270" s="492"/>
      <c r="N270" s="492"/>
      <c r="O270" s="492"/>
      <c r="P270" s="492"/>
      <c r="Q270" s="492"/>
      <c r="R270" s="492"/>
      <c r="S270" s="492"/>
      <c r="T270" s="492"/>
      <c r="U270" s="492"/>
      <c r="V270" s="492"/>
      <c r="W270" s="492"/>
      <c r="X270" s="453">
        <v>870</v>
      </c>
      <c r="Y270" s="453">
        <v>870</v>
      </c>
      <c r="Z270" s="453"/>
      <c r="AA270" s="453"/>
      <c r="AB270" s="453"/>
      <c r="AC270" s="452"/>
      <c r="AD270" s="452"/>
      <c r="AE270" s="452"/>
      <c r="AF270" s="452"/>
      <c r="AG270" s="452"/>
      <c r="AH270" s="452"/>
      <c r="AI270" s="452"/>
      <c r="AJ270" s="454"/>
      <c r="AK270" s="454">
        <f t="shared" si="38"/>
        <v>0</v>
      </c>
      <c r="AL270" s="454">
        <f t="shared" si="39"/>
        <v>0</v>
      </c>
      <c r="AM270" s="454">
        <v>1023</v>
      </c>
      <c r="AN270" s="454">
        <v>870</v>
      </c>
      <c r="AO270" s="454"/>
      <c r="AP270" s="454"/>
      <c r="AQ270" s="452"/>
      <c r="AR270" s="452"/>
      <c r="AS270" s="494">
        <v>1023</v>
      </c>
      <c r="AT270" s="494">
        <v>870</v>
      </c>
      <c r="AU270" s="495"/>
      <c r="AV270" s="495"/>
      <c r="AW270" s="147"/>
      <c r="AX270" s="119"/>
      <c r="BB270" s="119">
        <v>1</v>
      </c>
      <c r="BC270" s="119">
        <v>6</v>
      </c>
    </row>
    <row r="271" spans="1:55" ht="31.5" x14ac:dyDescent="0.25">
      <c r="A271" s="448" t="s">
        <v>896</v>
      </c>
      <c r="B271" s="449" t="s">
        <v>1165</v>
      </c>
      <c r="C271" s="450" t="s">
        <v>1155</v>
      </c>
      <c r="D271" s="450"/>
      <c r="E271" s="450">
        <v>2019</v>
      </c>
      <c r="F271" s="450"/>
      <c r="G271" s="452"/>
      <c r="H271" s="452"/>
      <c r="I271" s="492"/>
      <c r="J271" s="492"/>
      <c r="K271" s="492"/>
      <c r="L271" s="492"/>
      <c r="M271" s="492"/>
      <c r="N271" s="492"/>
      <c r="O271" s="492"/>
      <c r="P271" s="492"/>
      <c r="Q271" s="492"/>
      <c r="R271" s="492"/>
      <c r="S271" s="492"/>
      <c r="T271" s="492"/>
      <c r="U271" s="492"/>
      <c r="V271" s="492"/>
      <c r="W271" s="492"/>
      <c r="X271" s="453">
        <v>2088</v>
      </c>
      <c r="Y271" s="453">
        <v>2088</v>
      </c>
      <c r="Z271" s="453"/>
      <c r="AA271" s="453"/>
      <c r="AB271" s="453"/>
      <c r="AC271" s="452"/>
      <c r="AD271" s="452"/>
      <c r="AE271" s="452"/>
      <c r="AF271" s="452"/>
      <c r="AG271" s="452"/>
      <c r="AH271" s="452"/>
      <c r="AI271" s="452"/>
      <c r="AJ271" s="454"/>
      <c r="AK271" s="454">
        <f t="shared" si="38"/>
        <v>0</v>
      </c>
      <c r="AL271" s="454">
        <f t="shared" si="39"/>
        <v>0</v>
      </c>
      <c r="AM271" s="454">
        <v>2318</v>
      </c>
      <c r="AN271" s="454">
        <v>2088</v>
      </c>
      <c r="AO271" s="454"/>
      <c r="AP271" s="454"/>
      <c r="AQ271" s="452"/>
      <c r="AR271" s="452"/>
      <c r="AS271" s="494">
        <v>2318</v>
      </c>
      <c r="AT271" s="494">
        <v>2088</v>
      </c>
      <c r="AU271" s="495"/>
      <c r="AV271" s="495"/>
      <c r="AW271" s="147"/>
      <c r="AX271" s="119"/>
      <c r="BB271" s="119">
        <v>1</v>
      </c>
      <c r="BC271" s="119">
        <v>6</v>
      </c>
    </row>
    <row r="272" spans="1:55" ht="47.25" x14ac:dyDescent="0.25">
      <c r="A272" s="448" t="s">
        <v>898</v>
      </c>
      <c r="B272" s="449" t="s">
        <v>1166</v>
      </c>
      <c r="C272" s="450" t="s">
        <v>1093</v>
      </c>
      <c r="D272" s="450"/>
      <c r="E272" s="450">
        <v>2019</v>
      </c>
      <c r="F272" s="450"/>
      <c r="G272" s="452"/>
      <c r="H272" s="452"/>
      <c r="I272" s="492"/>
      <c r="J272" s="492"/>
      <c r="K272" s="492"/>
      <c r="L272" s="492"/>
      <c r="M272" s="492"/>
      <c r="N272" s="492"/>
      <c r="O272" s="492"/>
      <c r="P272" s="492"/>
      <c r="Q272" s="492"/>
      <c r="R272" s="492"/>
      <c r="S272" s="492"/>
      <c r="T272" s="492"/>
      <c r="U272" s="492"/>
      <c r="V272" s="492"/>
      <c r="W272" s="492"/>
      <c r="X272" s="453">
        <v>150</v>
      </c>
      <c r="Y272" s="453">
        <v>150</v>
      </c>
      <c r="Z272" s="453"/>
      <c r="AA272" s="453"/>
      <c r="AB272" s="453"/>
      <c r="AC272" s="452"/>
      <c r="AD272" s="452"/>
      <c r="AE272" s="452"/>
      <c r="AF272" s="452"/>
      <c r="AG272" s="452"/>
      <c r="AH272" s="452"/>
      <c r="AI272" s="452"/>
      <c r="AJ272" s="454"/>
      <c r="AK272" s="454">
        <f t="shared" si="38"/>
        <v>0</v>
      </c>
      <c r="AL272" s="454">
        <f t="shared" si="39"/>
        <v>0</v>
      </c>
      <c r="AM272" s="454">
        <v>267</v>
      </c>
      <c r="AN272" s="454">
        <v>150</v>
      </c>
      <c r="AO272" s="454"/>
      <c r="AP272" s="454"/>
      <c r="AQ272" s="452"/>
      <c r="AR272" s="452"/>
      <c r="AS272" s="494">
        <v>267</v>
      </c>
      <c r="AT272" s="494">
        <v>150</v>
      </c>
      <c r="AU272" s="495"/>
      <c r="AV272" s="495"/>
      <c r="AW272" s="147"/>
      <c r="AX272" s="119"/>
      <c r="BB272" s="119">
        <v>1</v>
      </c>
      <c r="BC272" s="119">
        <v>6</v>
      </c>
    </row>
    <row r="273" spans="1:55" ht="47.25" x14ac:dyDescent="0.25">
      <c r="A273" s="448" t="s">
        <v>900</v>
      </c>
      <c r="B273" s="449" t="s">
        <v>1167</v>
      </c>
      <c r="C273" s="450" t="s">
        <v>1093</v>
      </c>
      <c r="D273" s="450"/>
      <c r="E273" s="450">
        <v>2019</v>
      </c>
      <c r="F273" s="450"/>
      <c r="G273" s="452"/>
      <c r="H273" s="452"/>
      <c r="I273" s="492"/>
      <c r="J273" s="492"/>
      <c r="K273" s="492"/>
      <c r="L273" s="492"/>
      <c r="M273" s="492"/>
      <c r="N273" s="492"/>
      <c r="O273" s="492"/>
      <c r="P273" s="492"/>
      <c r="Q273" s="492"/>
      <c r="R273" s="492"/>
      <c r="S273" s="492"/>
      <c r="T273" s="492"/>
      <c r="U273" s="492"/>
      <c r="V273" s="492"/>
      <c r="W273" s="492"/>
      <c r="X273" s="453">
        <v>200</v>
      </c>
      <c r="Y273" s="453">
        <v>200</v>
      </c>
      <c r="Z273" s="453"/>
      <c r="AA273" s="453"/>
      <c r="AB273" s="453"/>
      <c r="AC273" s="452"/>
      <c r="AD273" s="452"/>
      <c r="AE273" s="452"/>
      <c r="AF273" s="452"/>
      <c r="AG273" s="452"/>
      <c r="AH273" s="452"/>
      <c r="AI273" s="452"/>
      <c r="AJ273" s="454"/>
      <c r="AK273" s="454">
        <f t="shared" si="38"/>
        <v>0</v>
      </c>
      <c r="AL273" s="454">
        <f t="shared" si="39"/>
        <v>0</v>
      </c>
      <c r="AM273" s="454">
        <v>322</v>
      </c>
      <c r="AN273" s="454">
        <v>200</v>
      </c>
      <c r="AO273" s="454"/>
      <c r="AP273" s="454"/>
      <c r="AQ273" s="452"/>
      <c r="AR273" s="452"/>
      <c r="AS273" s="494">
        <v>322</v>
      </c>
      <c r="AT273" s="494">
        <v>200</v>
      </c>
      <c r="AU273" s="495"/>
      <c r="AV273" s="495"/>
      <c r="AW273" s="147"/>
      <c r="AX273" s="119"/>
      <c r="BB273" s="119">
        <v>1</v>
      </c>
      <c r="BC273" s="119">
        <v>6</v>
      </c>
    </row>
    <row r="274" spans="1:55" ht="47.25" x14ac:dyDescent="0.25">
      <c r="A274" s="448" t="s">
        <v>902</v>
      </c>
      <c r="B274" s="449" t="s">
        <v>1168</v>
      </c>
      <c r="C274" s="450" t="s">
        <v>1093</v>
      </c>
      <c r="D274" s="450"/>
      <c r="E274" s="450">
        <v>2019</v>
      </c>
      <c r="F274" s="450"/>
      <c r="G274" s="452"/>
      <c r="H274" s="452"/>
      <c r="I274" s="492"/>
      <c r="J274" s="492"/>
      <c r="K274" s="492"/>
      <c r="L274" s="492"/>
      <c r="M274" s="492"/>
      <c r="N274" s="492"/>
      <c r="O274" s="492"/>
      <c r="P274" s="492"/>
      <c r="Q274" s="492"/>
      <c r="R274" s="492"/>
      <c r="S274" s="492"/>
      <c r="T274" s="492"/>
      <c r="U274" s="492"/>
      <c r="V274" s="492"/>
      <c r="W274" s="492"/>
      <c r="X274" s="453">
        <v>150</v>
      </c>
      <c r="Y274" s="453">
        <v>150</v>
      </c>
      <c r="Z274" s="453"/>
      <c r="AA274" s="453"/>
      <c r="AB274" s="453"/>
      <c r="AC274" s="452"/>
      <c r="AD274" s="452"/>
      <c r="AE274" s="452"/>
      <c r="AF274" s="452"/>
      <c r="AG274" s="452"/>
      <c r="AH274" s="452"/>
      <c r="AI274" s="452"/>
      <c r="AJ274" s="454"/>
      <c r="AK274" s="454">
        <f t="shared" ref="AK274:AK311" si="40">IF(AN274-Y274&gt;0,AN274-Y274,0)</f>
        <v>0</v>
      </c>
      <c r="AL274" s="454">
        <f t="shared" ref="AL274:AL311" si="41">IF(Y274-AN274&gt;0,Y274-AN274,0)</f>
        <v>0</v>
      </c>
      <c r="AM274" s="454">
        <v>267</v>
      </c>
      <c r="AN274" s="454">
        <v>150</v>
      </c>
      <c r="AO274" s="454"/>
      <c r="AP274" s="454"/>
      <c r="AQ274" s="452"/>
      <c r="AR274" s="452"/>
      <c r="AS274" s="494">
        <v>267</v>
      </c>
      <c r="AT274" s="494">
        <v>150</v>
      </c>
      <c r="AU274" s="495"/>
      <c r="AV274" s="495"/>
      <c r="AW274" s="147"/>
      <c r="AX274" s="119"/>
      <c r="BB274" s="119">
        <v>1</v>
      </c>
      <c r="BC274" s="119">
        <v>6</v>
      </c>
    </row>
    <row r="275" spans="1:55" ht="31.5" x14ac:dyDescent="0.25">
      <c r="A275" s="448" t="s">
        <v>904</v>
      </c>
      <c r="B275" s="449" t="s">
        <v>1169</v>
      </c>
      <c r="C275" s="450" t="s">
        <v>1108</v>
      </c>
      <c r="D275" s="450"/>
      <c r="E275" s="450">
        <v>2019</v>
      </c>
      <c r="F275" s="450"/>
      <c r="G275" s="452"/>
      <c r="H275" s="452"/>
      <c r="I275" s="492"/>
      <c r="J275" s="492"/>
      <c r="K275" s="492"/>
      <c r="L275" s="492"/>
      <c r="M275" s="492"/>
      <c r="N275" s="492"/>
      <c r="O275" s="492"/>
      <c r="P275" s="492"/>
      <c r="Q275" s="492"/>
      <c r="R275" s="492"/>
      <c r="S275" s="492"/>
      <c r="T275" s="492"/>
      <c r="U275" s="492"/>
      <c r="V275" s="492"/>
      <c r="W275" s="492"/>
      <c r="X275" s="453">
        <v>700</v>
      </c>
      <c r="Y275" s="453">
        <v>700</v>
      </c>
      <c r="Z275" s="453"/>
      <c r="AA275" s="453"/>
      <c r="AB275" s="453"/>
      <c r="AC275" s="452"/>
      <c r="AD275" s="452"/>
      <c r="AE275" s="452"/>
      <c r="AF275" s="452"/>
      <c r="AG275" s="452"/>
      <c r="AH275" s="452"/>
      <c r="AI275" s="452"/>
      <c r="AJ275" s="454"/>
      <c r="AK275" s="454">
        <f t="shared" si="40"/>
        <v>0</v>
      </c>
      <c r="AL275" s="454">
        <f t="shared" si="41"/>
        <v>0</v>
      </c>
      <c r="AM275" s="454">
        <v>780</v>
      </c>
      <c r="AN275" s="454">
        <v>700</v>
      </c>
      <c r="AO275" s="454"/>
      <c r="AP275" s="454"/>
      <c r="AQ275" s="452"/>
      <c r="AR275" s="452"/>
      <c r="AS275" s="494">
        <v>780</v>
      </c>
      <c r="AT275" s="494">
        <v>700</v>
      </c>
      <c r="AU275" s="495"/>
      <c r="AV275" s="495"/>
      <c r="AW275" s="147"/>
      <c r="AX275" s="119"/>
      <c r="BB275" s="119">
        <v>1</v>
      </c>
      <c r="BC275" s="119">
        <v>6</v>
      </c>
    </row>
    <row r="276" spans="1:55" ht="94.5" x14ac:dyDescent="0.25">
      <c r="A276" s="448" t="s">
        <v>906</v>
      </c>
      <c r="B276" s="449" t="s">
        <v>1170</v>
      </c>
      <c r="C276" s="450" t="s">
        <v>1112</v>
      </c>
      <c r="D276" s="450"/>
      <c r="E276" s="450">
        <v>2019</v>
      </c>
      <c r="F276" s="450"/>
      <c r="G276" s="452"/>
      <c r="H276" s="452"/>
      <c r="I276" s="492"/>
      <c r="J276" s="492"/>
      <c r="K276" s="492"/>
      <c r="L276" s="492"/>
      <c r="M276" s="492"/>
      <c r="N276" s="492"/>
      <c r="O276" s="492"/>
      <c r="P276" s="492"/>
      <c r="Q276" s="492"/>
      <c r="R276" s="492"/>
      <c r="S276" s="492"/>
      <c r="T276" s="492"/>
      <c r="U276" s="492"/>
      <c r="V276" s="492"/>
      <c r="W276" s="492"/>
      <c r="X276" s="453">
        <v>400</v>
      </c>
      <c r="Y276" s="453">
        <v>400</v>
      </c>
      <c r="Z276" s="453"/>
      <c r="AA276" s="453"/>
      <c r="AB276" s="453"/>
      <c r="AC276" s="452"/>
      <c r="AD276" s="452"/>
      <c r="AE276" s="452"/>
      <c r="AF276" s="452"/>
      <c r="AG276" s="452"/>
      <c r="AH276" s="452"/>
      <c r="AI276" s="452"/>
      <c r="AJ276" s="454"/>
      <c r="AK276" s="454">
        <f t="shared" si="40"/>
        <v>0</v>
      </c>
      <c r="AL276" s="454">
        <f t="shared" si="41"/>
        <v>0</v>
      </c>
      <c r="AM276" s="454">
        <v>444</v>
      </c>
      <c r="AN276" s="454">
        <v>400</v>
      </c>
      <c r="AO276" s="454"/>
      <c r="AP276" s="454"/>
      <c r="AQ276" s="452"/>
      <c r="AR276" s="452"/>
      <c r="AS276" s="494">
        <v>444</v>
      </c>
      <c r="AT276" s="494">
        <v>400</v>
      </c>
      <c r="AU276" s="495"/>
      <c r="AV276" s="495"/>
      <c r="AW276" s="147"/>
      <c r="AX276" s="119"/>
      <c r="BB276" s="119">
        <v>1</v>
      </c>
      <c r="BC276" s="119">
        <v>6</v>
      </c>
    </row>
    <row r="277" spans="1:55" ht="78.75" x14ac:dyDescent="0.25">
      <c r="A277" s="448" t="s">
        <v>908</v>
      </c>
      <c r="B277" s="449" t="s">
        <v>1171</v>
      </c>
      <c r="C277" s="450" t="s">
        <v>1072</v>
      </c>
      <c r="D277" s="450"/>
      <c r="E277" s="450">
        <v>2019</v>
      </c>
      <c r="F277" s="450"/>
      <c r="G277" s="452"/>
      <c r="H277" s="452"/>
      <c r="I277" s="492"/>
      <c r="J277" s="492"/>
      <c r="K277" s="492"/>
      <c r="L277" s="492"/>
      <c r="M277" s="492"/>
      <c r="N277" s="492"/>
      <c r="O277" s="492"/>
      <c r="P277" s="492"/>
      <c r="Q277" s="492"/>
      <c r="R277" s="492"/>
      <c r="S277" s="492"/>
      <c r="T277" s="492"/>
      <c r="U277" s="492"/>
      <c r="V277" s="492"/>
      <c r="W277" s="492"/>
      <c r="X277" s="453">
        <v>700</v>
      </c>
      <c r="Y277" s="453">
        <v>700</v>
      </c>
      <c r="Z277" s="453"/>
      <c r="AA277" s="453"/>
      <c r="AB277" s="453"/>
      <c r="AC277" s="452"/>
      <c r="AD277" s="452"/>
      <c r="AE277" s="452"/>
      <c r="AF277" s="452"/>
      <c r="AG277" s="452"/>
      <c r="AH277" s="452"/>
      <c r="AI277" s="452"/>
      <c r="AJ277" s="454"/>
      <c r="AK277" s="454">
        <f t="shared" si="40"/>
        <v>0</v>
      </c>
      <c r="AL277" s="454">
        <f t="shared" si="41"/>
        <v>0</v>
      </c>
      <c r="AM277" s="454">
        <v>775</v>
      </c>
      <c r="AN277" s="454">
        <v>700</v>
      </c>
      <c r="AO277" s="454"/>
      <c r="AP277" s="454"/>
      <c r="AQ277" s="452"/>
      <c r="AR277" s="452"/>
      <c r="AS277" s="494">
        <v>775</v>
      </c>
      <c r="AT277" s="494">
        <v>700</v>
      </c>
      <c r="AU277" s="495"/>
      <c r="AV277" s="495"/>
      <c r="AW277" s="147"/>
      <c r="AX277" s="119"/>
      <c r="BB277" s="119">
        <v>1</v>
      </c>
      <c r="BC277" s="119">
        <v>6</v>
      </c>
    </row>
    <row r="278" spans="1:55" ht="47.25" x14ac:dyDescent="0.25">
      <c r="A278" s="448" t="s">
        <v>910</v>
      </c>
      <c r="B278" s="449" t="s">
        <v>1172</v>
      </c>
      <c r="C278" s="450" t="s">
        <v>1151</v>
      </c>
      <c r="D278" s="450"/>
      <c r="E278" s="450">
        <v>2019</v>
      </c>
      <c r="F278" s="450"/>
      <c r="G278" s="452"/>
      <c r="H278" s="452"/>
      <c r="I278" s="492"/>
      <c r="J278" s="492"/>
      <c r="K278" s="492"/>
      <c r="L278" s="492"/>
      <c r="M278" s="492"/>
      <c r="N278" s="492"/>
      <c r="O278" s="492"/>
      <c r="P278" s="492"/>
      <c r="Q278" s="492"/>
      <c r="R278" s="492"/>
      <c r="S278" s="492"/>
      <c r="T278" s="492"/>
      <c r="U278" s="492"/>
      <c r="V278" s="492"/>
      <c r="W278" s="492"/>
      <c r="X278" s="453">
        <v>2500</v>
      </c>
      <c r="Y278" s="453">
        <v>2500</v>
      </c>
      <c r="Z278" s="453"/>
      <c r="AA278" s="453"/>
      <c r="AB278" s="453"/>
      <c r="AC278" s="452"/>
      <c r="AD278" s="452"/>
      <c r="AE278" s="452"/>
      <c r="AF278" s="452"/>
      <c r="AG278" s="452"/>
      <c r="AH278" s="452"/>
      <c r="AI278" s="452"/>
      <c r="AJ278" s="454"/>
      <c r="AK278" s="454">
        <f t="shared" si="40"/>
        <v>0</v>
      </c>
      <c r="AL278" s="454">
        <f t="shared" si="41"/>
        <v>0</v>
      </c>
      <c r="AM278" s="454">
        <v>2770</v>
      </c>
      <c r="AN278" s="454">
        <v>2500</v>
      </c>
      <c r="AO278" s="454"/>
      <c r="AP278" s="454"/>
      <c r="AQ278" s="452"/>
      <c r="AR278" s="452"/>
      <c r="AS278" s="494">
        <v>2770</v>
      </c>
      <c r="AT278" s="494">
        <v>2500</v>
      </c>
      <c r="AU278" s="495"/>
      <c r="AV278" s="495"/>
      <c r="AW278" s="147"/>
      <c r="AX278" s="119"/>
      <c r="BB278" s="119">
        <v>1</v>
      </c>
      <c r="BC278" s="119">
        <v>6</v>
      </c>
    </row>
    <row r="279" spans="1:55" ht="47.25" x14ac:dyDescent="0.25">
      <c r="A279" s="448" t="s">
        <v>1173</v>
      </c>
      <c r="B279" s="449" t="s">
        <v>1174</v>
      </c>
      <c r="C279" s="450" t="s">
        <v>1062</v>
      </c>
      <c r="D279" s="450"/>
      <c r="E279" s="450">
        <v>2020</v>
      </c>
      <c r="F279" s="450"/>
      <c r="G279" s="452"/>
      <c r="H279" s="452"/>
      <c r="I279" s="492"/>
      <c r="J279" s="492"/>
      <c r="K279" s="492"/>
      <c r="L279" s="492"/>
      <c r="M279" s="492"/>
      <c r="N279" s="492"/>
      <c r="O279" s="492"/>
      <c r="P279" s="492"/>
      <c r="Q279" s="492"/>
      <c r="R279" s="492"/>
      <c r="S279" s="492"/>
      <c r="T279" s="492"/>
      <c r="U279" s="492"/>
      <c r="V279" s="492"/>
      <c r="W279" s="492"/>
      <c r="X279" s="453">
        <v>828</v>
      </c>
      <c r="Y279" s="453">
        <v>828</v>
      </c>
      <c r="Z279" s="453"/>
      <c r="AA279" s="453"/>
      <c r="AB279" s="453"/>
      <c r="AC279" s="452"/>
      <c r="AD279" s="452"/>
      <c r="AE279" s="452"/>
      <c r="AF279" s="452"/>
      <c r="AG279" s="452"/>
      <c r="AH279" s="452"/>
      <c r="AI279" s="452"/>
      <c r="AJ279" s="454"/>
      <c r="AK279" s="454">
        <f t="shared" si="40"/>
        <v>0</v>
      </c>
      <c r="AL279" s="454">
        <f t="shared" si="41"/>
        <v>0</v>
      </c>
      <c r="AM279" s="454">
        <v>920</v>
      </c>
      <c r="AN279" s="454">
        <v>828</v>
      </c>
      <c r="AO279" s="454"/>
      <c r="AP279" s="454"/>
      <c r="AQ279" s="452"/>
      <c r="AR279" s="452"/>
      <c r="AS279" s="494">
        <v>920</v>
      </c>
      <c r="AT279" s="494">
        <v>828</v>
      </c>
      <c r="AU279" s="495"/>
      <c r="AV279" s="495"/>
      <c r="AW279" s="147"/>
      <c r="AX279" s="119"/>
      <c r="BB279" s="119">
        <v>1</v>
      </c>
      <c r="BC279" s="119">
        <v>6</v>
      </c>
    </row>
    <row r="280" spans="1:55" ht="47.25" x14ac:dyDescent="0.25">
      <c r="A280" s="448" t="s">
        <v>1175</v>
      </c>
      <c r="B280" s="449" t="s">
        <v>1176</v>
      </c>
      <c r="C280" s="450" t="s">
        <v>1066</v>
      </c>
      <c r="D280" s="450"/>
      <c r="E280" s="450">
        <v>2020</v>
      </c>
      <c r="F280" s="450"/>
      <c r="G280" s="452"/>
      <c r="H280" s="452"/>
      <c r="I280" s="492"/>
      <c r="J280" s="492"/>
      <c r="K280" s="492"/>
      <c r="L280" s="492"/>
      <c r="M280" s="492"/>
      <c r="N280" s="492"/>
      <c r="O280" s="492"/>
      <c r="P280" s="492"/>
      <c r="Q280" s="492"/>
      <c r="R280" s="492"/>
      <c r="S280" s="492"/>
      <c r="T280" s="492"/>
      <c r="U280" s="492"/>
      <c r="V280" s="492"/>
      <c r="W280" s="492"/>
      <c r="X280" s="453">
        <v>870</v>
      </c>
      <c r="Y280" s="453">
        <v>870</v>
      </c>
      <c r="Z280" s="453"/>
      <c r="AA280" s="453"/>
      <c r="AB280" s="453"/>
      <c r="AC280" s="452"/>
      <c r="AD280" s="452"/>
      <c r="AE280" s="452"/>
      <c r="AF280" s="452"/>
      <c r="AG280" s="452"/>
      <c r="AH280" s="452"/>
      <c r="AI280" s="452"/>
      <c r="AJ280" s="454"/>
      <c r="AK280" s="454">
        <f t="shared" si="40"/>
        <v>0</v>
      </c>
      <c r="AL280" s="454">
        <f t="shared" si="41"/>
        <v>0</v>
      </c>
      <c r="AM280" s="454">
        <v>1243</v>
      </c>
      <c r="AN280" s="454">
        <v>870</v>
      </c>
      <c r="AO280" s="454"/>
      <c r="AP280" s="454"/>
      <c r="AQ280" s="452"/>
      <c r="AR280" s="452"/>
      <c r="AS280" s="494">
        <v>1243</v>
      </c>
      <c r="AT280" s="494">
        <v>870</v>
      </c>
      <c r="AU280" s="495"/>
      <c r="AV280" s="495"/>
      <c r="AW280" s="147"/>
      <c r="AX280" s="119"/>
      <c r="BB280" s="119">
        <v>1</v>
      </c>
      <c r="BC280" s="119">
        <v>6</v>
      </c>
    </row>
    <row r="281" spans="1:55" ht="47.25" x14ac:dyDescent="0.25">
      <c r="A281" s="448" t="s">
        <v>1177</v>
      </c>
      <c r="B281" s="449" t="s">
        <v>1178</v>
      </c>
      <c r="C281" s="450" t="s">
        <v>1093</v>
      </c>
      <c r="D281" s="450"/>
      <c r="E281" s="450">
        <v>2020</v>
      </c>
      <c r="F281" s="450"/>
      <c r="G281" s="452"/>
      <c r="H281" s="452"/>
      <c r="I281" s="492"/>
      <c r="J281" s="492"/>
      <c r="K281" s="492"/>
      <c r="L281" s="492"/>
      <c r="M281" s="492"/>
      <c r="N281" s="492"/>
      <c r="O281" s="492"/>
      <c r="P281" s="492"/>
      <c r="Q281" s="492"/>
      <c r="R281" s="492"/>
      <c r="S281" s="492"/>
      <c r="T281" s="492"/>
      <c r="U281" s="492"/>
      <c r="V281" s="492"/>
      <c r="W281" s="492"/>
      <c r="X281" s="453">
        <v>1000</v>
      </c>
      <c r="Y281" s="453">
        <v>1000</v>
      </c>
      <c r="Z281" s="453"/>
      <c r="AA281" s="453"/>
      <c r="AB281" s="453"/>
      <c r="AC281" s="452"/>
      <c r="AD281" s="452"/>
      <c r="AE281" s="452"/>
      <c r="AF281" s="452"/>
      <c r="AG281" s="452"/>
      <c r="AH281" s="452"/>
      <c r="AI281" s="452"/>
      <c r="AJ281" s="454"/>
      <c r="AK281" s="454">
        <f t="shared" si="40"/>
        <v>0</v>
      </c>
      <c r="AL281" s="454">
        <f t="shared" si="41"/>
        <v>0</v>
      </c>
      <c r="AM281" s="454">
        <v>1111</v>
      </c>
      <c r="AN281" s="454">
        <v>1000</v>
      </c>
      <c r="AO281" s="454"/>
      <c r="AP281" s="454"/>
      <c r="AQ281" s="452"/>
      <c r="AR281" s="452"/>
      <c r="AS281" s="494">
        <v>1111</v>
      </c>
      <c r="AT281" s="494">
        <v>1000</v>
      </c>
      <c r="AU281" s="495"/>
      <c r="AV281" s="495"/>
      <c r="AW281" s="147"/>
      <c r="AX281" s="119"/>
      <c r="BB281" s="119">
        <v>1</v>
      </c>
      <c r="BC281" s="119">
        <v>6</v>
      </c>
    </row>
    <row r="282" spans="1:55" ht="47.25" x14ac:dyDescent="0.25">
      <c r="A282" s="448" t="s">
        <v>1179</v>
      </c>
      <c r="B282" s="449" t="s">
        <v>1180</v>
      </c>
      <c r="C282" s="450" t="s">
        <v>1112</v>
      </c>
      <c r="D282" s="450"/>
      <c r="E282" s="450">
        <v>2020</v>
      </c>
      <c r="F282" s="450"/>
      <c r="G282" s="452"/>
      <c r="H282" s="452"/>
      <c r="I282" s="492"/>
      <c r="J282" s="492"/>
      <c r="K282" s="492"/>
      <c r="L282" s="492"/>
      <c r="M282" s="492"/>
      <c r="N282" s="492"/>
      <c r="O282" s="492"/>
      <c r="P282" s="492"/>
      <c r="Q282" s="492"/>
      <c r="R282" s="492"/>
      <c r="S282" s="492"/>
      <c r="T282" s="492"/>
      <c r="U282" s="492"/>
      <c r="V282" s="492"/>
      <c r="W282" s="492"/>
      <c r="X282" s="453">
        <v>400</v>
      </c>
      <c r="Y282" s="453">
        <v>400</v>
      </c>
      <c r="Z282" s="453"/>
      <c r="AA282" s="453"/>
      <c r="AB282" s="453"/>
      <c r="AC282" s="452"/>
      <c r="AD282" s="452"/>
      <c r="AE282" s="452"/>
      <c r="AF282" s="452"/>
      <c r="AG282" s="452"/>
      <c r="AH282" s="452"/>
      <c r="AI282" s="452"/>
      <c r="AJ282" s="454"/>
      <c r="AK282" s="454">
        <f t="shared" si="40"/>
        <v>0</v>
      </c>
      <c r="AL282" s="454">
        <f t="shared" si="41"/>
        <v>0</v>
      </c>
      <c r="AM282" s="454">
        <v>444</v>
      </c>
      <c r="AN282" s="454">
        <v>400</v>
      </c>
      <c r="AO282" s="454"/>
      <c r="AP282" s="454"/>
      <c r="AQ282" s="452"/>
      <c r="AR282" s="452">
        <v>400</v>
      </c>
      <c r="AS282" s="494">
        <v>0</v>
      </c>
      <c r="AT282" s="494">
        <v>0</v>
      </c>
      <c r="AU282" s="495"/>
      <c r="AV282" s="495"/>
      <c r="AW282" s="147"/>
      <c r="AX282" s="119"/>
      <c r="BB282" s="119">
        <v>1</v>
      </c>
      <c r="BC282" s="119">
        <v>6</v>
      </c>
    </row>
    <row r="283" spans="1:55" ht="31.5" x14ac:dyDescent="0.25">
      <c r="A283" s="448" t="s">
        <v>1181</v>
      </c>
      <c r="B283" s="449" t="s">
        <v>1182</v>
      </c>
      <c r="C283" s="450" t="s">
        <v>1139</v>
      </c>
      <c r="D283" s="450"/>
      <c r="E283" s="450">
        <v>2020</v>
      </c>
      <c r="F283" s="450"/>
      <c r="G283" s="452"/>
      <c r="H283" s="452"/>
      <c r="I283" s="492"/>
      <c r="J283" s="492"/>
      <c r="K283" s="492"/>
      <c r="L283" s="492"/>
      <c r="M283" s="492"/>
      <c r="N283" s="492"/>
      <c r="O283" s="492"/>
      <c r="P283" s="492"/>
      <c r="Q283" s="492"/>
      <c r="R283" s="492"/>
      <c r="S283" s="492"/>
      <c r="T283" s="492"/>
      <c r="U283" s="492"/>
      <c r="V283" s="492"/>
      <c r="W283" s="492"/>
      <c r="X283" s="453">
        <v>1280</v>
      </c>
      <c r="Y283" s="453">
        <v>1280</v>
      </c>
      <c r="Z283" s="453"/>
      <c r="AA283" s="453"/>
      <c r="AB283" s="453"/>
      <c r="AC283" s="452"/>
      <c r="AD283" s="452"/>
      <c r="AE283" s="452"/>
      <c r="AF283" s="452"/>
      <c r="AG283" s="452"/>
      <c r="AH283" s="452"/>
      <c r="AI283" s="452"/>
      <c r="AJ283" s="454"/>
      <c r="AK283" s="454">
        <f t="shared" si="40"/>
        <v>0</v>
      </c>
      <c r="AL283" s="454">
        <f t="shared" si="41"/>
        <v>0</v>
      </c>
      <c r="AM283" s="454">
        <v>1422</v>
      </c>
      <c r="AN283" s="454">
        <v>1280</v>
      </c>
      <c r="AO283" s="454"/>
      <c r="AP283" s="454"/>
      <c r="AQ283" s="452"/>
      <c r="AR283" s="452"/>
      <c r="AS283" s="494">
        <v>1422</v>
      </c>
      <c r="AT283" s="494">
        <v>1280</v>
      </c>
      <c r="AU283" s="495"/>
      <c r="AV283" s="495"/>
      <c r="AW283" s="147"/>
      <c r="AX283" s="119"/>
      <c r="BB283" s="119">
        <v>1</v>
      </c>
      <c r="BC283" s="119">
        <v>6</v>
      </c>
    </row>
    <row r="284" spans="1:55" ht="47.25" x14ac:dyDescent="0.25">
      <c r="A284" s="448" t="s">
        <v>1183</v>
      </c>
      <c r="B284" s="449" t="s">
        <v>1184</v>
      </c>
      <c r="C284" s="450" t="s">
        <v>1164</v>
      </c>
      <c r="D284" s="450"/>
      <c r="E284" s="450">
        <v>2020</v>
      </c>
      <c r="F284" s="450"/>
      <c r="G284" s="452"/>
      <c r="H284" s="452"/>
      <c r="I284" s="492"/>
      <c r="J284" s="492"/>
      <c r="K284" s="492"/>
      <c r="L284" s="492"/>
      <c r="M284" s="492"/>
      <c r="N284" s="492"/>
      <c r="O284" s="492"/>
      <c r="P284" s="492"/>
      <c r="Q284" s="492"/>
      <c r="R284" s="492"/>
      <c r="S284" s="492"/>
      <c r="T284" s="492"/>
      <c r="U284" s="492"/>
      <c r="V284" s="492"/>
      <c r="W284" s="492"/>
      <c r="X284" s="453">
        <v>870</v>
      </c>
      <c r="Y284" s="453">
        <v>870</v>
      </c>
      <c r="Z284" s="453"/>
      <c r="AA284" s="453"/>
      <c r="AB284" s="453"/>
      <c r="AC284" s="452"/>
      <c r="AD284" s="452"/>
      <c r="AE284" s="452"/>
      <c r="AF284" s="452"/>
      <c r="AG284" s="452"/>
      <c r="AH284" s="452"/>
      <c r="AI284" s="452"/>
      <c r="AJ284" s="454"/>
      <c r="AK284" s="454">
        <f t="shared" si="40"/>
        <v>0</v>
      </c>
      <c r="AL284" s="454">
        <f t="shared" si="41"/>
        <v>0</v>
      </c>
      <c r="AM284" s="454">
        <v>1243</v>
      </c>
      <c r="AN284" s="454">
        <v>870</v>
      </c>
      <c r="AO284" s="454"/>
      <c r="AP284" s="454"/>
      <c r="AQ284" s="452"/>
      <c r="AR284" s="452"/>
      <c r="AS284" s="494">
        <v>1243</v>
      </c>
      <c r="AT284" s="494">
        <v>870</v>
      </c>
      <c r="AU284" s="495"/>
      <c r="AV284" s="495"/>
      <c r="AW284" s="147"/>
      <c r="AX284" s="119"/>
      <c r="BB284" s="119">
        <v>1</v>
      </c>
      <c r="BC284" s="119">
        <v>6</v>
      </c>
    </row>
    <row r="285" spans="1:55" ht="31.5" x14ac:dyDescent="0.25">
      <c r="A285" s="448" t="s">
        <v>1185</v>
      </c>
      <c r="B285" s="449" t="s">
        <v>1186</v>
      </c>
      <c r="C285" s="450" t="s">
        <v>1148</v>
      </c>
      <c r="D285" s="450"/>
      <c r="E285" s="450">
        <v>2020</v>
      </c>
      <c r="F285" s="450"/>
      <c r="G285" s="452"/>
      <c r="H285" s="452"/>
      <c r="I285" s="492"/>
      <c r="J285" s="492"/>
      <c r="K285" s="492"/>
      <c r="L285" s="492"/>
      <c r="M285" s="492"/>
      <c r="N285" s="492"/>
      <c r="O285" s="492"/>
      <c r="P285" s="492"/>
      <c r="Q285" s="492"/>
      <c r="R285" s="492"/>
      <c r="S285" s="492"/>
      <c r="T285" s="492"/>
      <c r="U285" s="492"/>
      <c r="V285" s="492"/>
      <c r="W285" s="492"/>
      <c r="X285" s="453">
        <v>870</v>
      </c>
      <c r="Y285" s="453">
        <v>870</v>
      </c>
      <c r="Z285" s="453"/>
      <c r="AA285" s="453"/>
      <c r="AB285" s="453"/>
      <c r="AC285" s="452"/>
      <c r="AD285" s="452"/>
      <c r="AE285" s="452"/>
      <c r="AF285" s="452"/>
      <c r="AG285" s="452"/>
      <c r="AH285" s="452"/>
      <c r="AI285" s="452"/>
      <c r="AJ285" s="454"/>
      <c r="AK285" s="454">
        <f t="shared" si="40"/>
        <v>0</v>
      </c>
      <c r="AL285" s="454">
        <f t="shared" si="41"/>
        <v>0</v>
      </c>
      <c r="AM285" s="454">
        <v>967</v>
      </c>
      <c r="AN285" s="454">
        <v>870</v>
      </c>
      <c r="AO285" s="454"/>
      <c r="AP285" s="454"/>
      <c r="AQ285" s="452"/>
      <c r="AR285" s="452"/>
      <c r="AS285" s="494">
        <v>967</v>
      </c>
      <c r="AT285" s="494">
        <v>870</v>
      </c>
      <c r="AU285" s="495"/>
      <c r="AV285" s="495"/>
      <c r="AW285" s="147"/>
      <c r="AX285" s="119"/>
      <c r="BB285" s="119">
        <v>1</v>
      </c>
      <c r="BC285" s="119">
        <v>6</v>
      </c>
    </row>
    <row r="286" spans="1:55" ht="47.25" x14ac:dyDescent="0.25">
      <c r="A286" s="448" t="s">
        <v>1187</v>
      </c>
      <c r="B286" s="449" t="s">
        <v>1188</v>
      </c>
      <c r="C286" s="450" t="s">
        <v>1080</v>
      </c>
      <c r="D286" s="450"/>
      <c r="E286" s="450">
        <v>2020</v>
      </c>
      <c r="F286" s="450"/>
      <c r="G286" s="452"/>
      <c r="H286" s="452"/>
      <c r="I286" s="492"/>
      <c r="J286" s="492"/>
      <c r="K286" s="492"/>
      <c r="L286" s="492"/>
      <c r="M286" s="492"/>
      <c r="N286" s="492"/>
      <c r="O286" s="492"/>
      <c r="P286" s="492"/>
      <c r="Q286" s="492"/>
      <c r="R286" s="492"/>
      <c r="S286" s="492"/>
      <c r="T286" s="492"/>
      <c r="U286" s="492"/>
      <c r="V286" s="492"/>
      <c r="W286" s="492"/>
      <c r="X286" s="453">
        <v>870</v>
      </c>
      <c r="Y286" s="453">
        <v>870</v>
      </c>
      <c r="Z286" s="453"/>
      <c r="AA286" s="453"/>
      <c r="AB286" s="453"/>
      <c r="AC286" s="452"/>
      <c r="AD286" s="452"/>
      <c r="AE286" s="452"/>
      <c r="AF286" s="452"/>
      <c r="AG286" s="452"/>
      <c r="AH286" s="452"/>
      <c r="AI286" s="452"/>
      <c r="AJ286" s="454"/>
      <c r="AK286" s="454">
        <f t="shared" si="40"/>
        <v>0</v>
      </c>
      <c r="AL286" s="454">
        <f t="shared" si="41"/>
        <v>0</v>
      </c>
      <c r="AM286" s="454">
        <v>967</v>
      </c>
      <c r="AN286" s="454">
        <v>870</v>
      </c>
      <c r="AO286" s="454"/>
      <c r="AP286" s="454"/>
      <c r="AQ286" s="452"/>
      <c r="AR286" s="452"/>
      <c r="AS286" s="494">
        <v>967</v>
      </c>
      <c r="AT286" s="494">
        <v>870</v>
      </c>
      <c r="AU286" s="495"/>
      <c r="AV286" s="495"/>
      <c r="AW286" s="147"/>
      <c r="AX286" s="119"/>
      <c r="BB286" s="119">
        <v>1</v>
      </c>
      <c r="BC286" s="119">
        <v>6</v>
      </c>
    </row>
    <row r="287" spans="1:55" ht="47.25" x14ac:dyDescent="0.25">
      <c r="A287" s="448" t="s">
        <v>1189</v>
      </c>
      <c r="B287" s="533" t="s">
        <v>1190</v>
      </c>
      <c r="C287" s="450" t="s">
        <v>1080</v>
      </c>
      <c r="D287" s="450"/>
      <c r="E287" s="450">
        <v>2020</v>
      </c>
      <c r="F287" s="450"/>
      <c r="G287" s="452"/>
      <c r="H287" s="452"/>
      <c r="I287" s="492"/>
      <c r="J287" s="492"/>
      <c r="K287" s="492"/>
      <c r="L287" s="492"/>
      <c r="M287" s="492"/>
      <c r="N287" s="492"/>
      <c r="O287" s="492"/>
      <c r="P287" s="492"/>
      <c r="Q287" s="492"/>
      <c r="R287" s="492"/>
      <c r="S287" s="492"/>
      <c r="T287" s="492"/>
      <c r="U287" s="492"/>
      <c r="V287" s="492"/>
      <c r="W287" s="492"/>
      <c r="X287" s="453">
        <v>1000</v>
      </c>
      <c r="Y287" s="453">
        <v>1000</v>
      </c>
      <c r="Z287" s="453"/>
      <c r="AA287" s="453"/>
      <c r="AB287" s="453"/>
      <c r="AC287" s="452"/>
      <c r="AD287" s="452"/>
      <c r="AE287" s="452"/>
      <c r="AF287" s="452"/>
      <c r="AG287" s="452"/>
      <c r="AH287" s="452"/>
      <c r="AI287" s="452"/>
      <c r="AJ287" s="454"/>
      <c r="AK287" s="454">
        <f t="shared" si="40"/>
        <v>0</v>
      </c>
      <c r="AL287" s="454">
        <f t="shared" si="41"/>
        <v>0</v>
      </c>
      <c r="AM287" s="454">
        <v>1111</v>
      </c>
      <c r="AN287" s="454">
        <v>1000</v>
      </c>
      <c r="AO287" s="454"/>
      <c r="AP287" s="454"/>
      <c r="AQ287" s="452"/>
      <c r="AR287" s="452"/>
      <c r="AS287" s="494">
        <v>2000</v>
      </c>
      <c r="AT287" s="494">
        <v>1000</v>
      </c>
      <c r="AU287" s="495"/>
      <c r="AV287" s="495"/>
      <c r="AW287" s="147"/>
      <c r="AX287" s="119"/>
      <c r="BB287" s="119">
        <v>1</v>
      </c>
      <c r="BC287" s="119">
        <v>6</v>
      </c>
    </row>
    <row r="288" spans="1:55" ht="31.5" x14ac:dyDescent="0.25">
      <c r="A288" s="448" t="s">
        <v>1191</v>
      </c>
      <c r="B288" s="533" t="s">
        <v>1192</v>
      </c>
      <c r="C288" s="450" t="s">
        <v>1075</v>
      </c>
      <c r="D288" s="450"/>
      <c r="E288" s="450">
        <v>2020</v>
      </c>
      <c r="F288" s="450"/>
      <c r="G288" s="452"/>
      <c r="H288" s="452"/>
      <c r="I288" s="492"/>
      <c r="J288" s="492"/>
      <c r="K288" s="492"/>
      <c r="L288" s="492"/>
      <c r="M288" s="492"/>
      <c r="N288" s="492"/>
      <c r="O288" s="492"/>
      <c r="P288" s="492"/>
      <c r="Q288" s="492"/>
      <c r="R288" s="492"/>
      <c r="S288" s="492"/>
      <c r="T288" s="492"/>
      <c r="U288" s="492"/>
      <c r="V288" s="492"/>
      <c r="W288" s="492"/>
      <c r="X288" s="453">
        <v>1000</v>
      </c>
      <c r="Y288" s="453">
        <v>1000</v>
      </c>
      <c r="Z288" s="453"/>
      <c r="AA288" s="453"/>
      <c r="AB288" s="453"/>
      <c r="AC288" s="452"/>
      <c r="AD288" s="452"/>
      <c r="AE288" s="452"/>
      <c r="AF288" s="452"/>
      <c r="AG288" s="452"/>
      <c r="AH288" s="452"/>
      <c r="AI288" s="452"/>
      <c r="AJ288" s="454"/>
      <c r="AK288" s="454">
        <f t="shared" si="40"/>
        <v>0</v>
      </c>
      <c r="AL288" s="454">
        <f t="shared" si="41"/>
        <v>0</v>
      </c>
      <c r="AM288" s="454">
        <v>1111</v>
      </c>
      <c r="AN288" s="454">
        <v>1000</v>
      </c>
      <c r="AO288" s="454"/>
      <c r="AP288" s="454"/>
      <c r="AQ288" s="452"/>
      <c r="AR288" s="452"/>
      <c r="AS288" s="494">
        <v>1111</v>
      </c>
      <c r="AT288" s="494">
        <v>1000</v>
      </c>
      <c r="AU288" s="495"/>
      <c r="AV288" s="495"/>
      <c r="AW288" s="147"/>
      <c r="AX288" s="119"/>
      <c r="BB288" s="119">
        <v>1</v>
      </c>
      <c r="BC288" s="119">
        <v>6</v>
      </c>
    </row>
    <row r="289" spans="1:55" ht="47.25" x14ac:dyDescent="0.25">
      <c r="A289" s="448" t="s">
        <v>1193</v>
      </c>
      <c r="B289" s="533" t="s">
        <v>1194</v>
      </c>
      <c r="C289" s="450" t="s">
        <v>1126</v>
      </c>
      <c r="D289" s="450"/>
      <c r="E289" s="450">
        <v>2020</v>
      </c>
      <c r="F289" s="450"/>
      <c r="G289" s="452"/>
      <c r="H289" s="452"/>
      <c r="I289" s="492"/>
      <c r="J289" s="492"/>
      <c r="K289" s="492"/>
      <c r="L289" s="492"/>
      <c r="M289" s="492"/>
      <c r="N289" s="492"/>
      <c r="O289" s="492"/>
      <c r="P289" s="492"/>
      <c r="Q289" s="492"/>
      <c r="R289" s="492"/>
      <c r="S289" s="492"/>
      <c r="T289" s="492"/>
      <c r="U289" s="492"/>
      <c r="V289" s="492"/>
      <c r="W289" s="492"/>
      <c r="X289" s="453">
        <v>2199</v>
      </c>
      <c r="Y289" s="453">
        <v>2199</v>
      </c>
      <c r="Z289" s="453"/>
      <c r="AA289" s="453"/>
      <c r="AB289" s="453"/>
      <c r="AC289" s="452"/>
      <c r="AD289" s="452"/>
      <c r="AE289" s="452"/>
      <c r="AF289" s="452"/>
      <c r="AG289" s="452"/>
      <c r="AH289" s="452"/>
      <c r="AI289" s="452"/>
      <c r="AJ289" s="454"/>
      <c r="AK289" s="454">
        <f t="shared" si="40"/>
        <v>0</v>
      </c>
      <c r="AL289" s="454">
        <f t="shared" si="41"/>
        <v>0</v>
      </c>
      <c r="AM289" s="454">
        <v>2443</v>
      </c>
      <c r="AN289" s="454">
        <v>2199</v>
      </c>
      <c r="AO289" s="454"/>
      <c r="AP289" s="454"/>
      <c r="AQ289" s="452"/>
      <c r="AR289" s="452"/>
      <c r="AS289" s="494">
        <v>2443</v>
      </c>
      <c r="AT289" s="494">
        <v>2199</v>
      </c>
      <c r="AU289" s="495"/>
      <c r="AV289" s="495"/>
      <c r="AW289" s="147"/>
      <c r="AX289" s="119"/>
      <c r="BB289" s="119">
        <v>1</v>
      </c>
      <c r="BC289" s="119">
        <v>6</v>
      </c>
    </row>
    <row r="290" spans="1:55" ht="47.25" x14ac:dyDescent="0.25">
      <c r="A290" s="448" t="s">
        <v>1195</v>
      </c>
      <c r="B290" s="449" t="s">
        <v>1196</v>
      </c>
      <c r="C290" s="450" t="s">
        <v>1105</v>
      </c>
      <c r="D290" s="450"/>
      <c r="E290" s="450">
        <v>2020</v>
      </c>
      <c r="F290" s="450"/>
      <c r="G290" s="452"/>
      <c r="H290" s="452"/>
      <c r="I290" s="492"/>
      <c r="J290" s="492"/>
      <c r="K290" s="492"/>
      <c r="L290" s="492"/>
      <c r="M290" s="492"/>
      <c r="N290" s="492"/>
      <c r="O290" s="492"/>
      <c r="P290" s="492"/>
      <c r="Q290" s="492"/>
      <c r="R290" s="492"/>
      <c r="S290" s="492"/>
      <c r="T290" s="492"/>
      <c r="U290" s="492"/>
      <c r="V290" s="492"/>
      <c r="W290" s="492"/>
      <c r="X290" s="453">
        <v>980</v>
      </c>
      <c r="Y290" s="453">
        <v>980</v>
      </c>
      <c r="Z290" s="453"/>
      <c r="AA290" s="453"/>
      <c r="AB290" s="453"/>
      <c r="AC290" s="452"/>
      <c r="AD290" s="452"/>
      <c r="AE290" s="452"/>
      <c r="AF290" s="452"/>
      <c r="AG290" s="452"/>
      <c r="AH290" s="452"/>
      <c r="AI290" s="452"/>
      <c r="AJ290" s="454"/>
      <c r="AK290" s="454">
        <f t="shared" si="40"/>
        <v>0</v>
      </c>
      <c r="AL290" s="454">
        <f t="shared" si="41"/>
        <v>0</v>
      </c>
      <c r="AM290" s="454">
        <v>1089</v>
      </c>
      <c r="AN290" s="454">
        <v>980</v>
      </c>
      <c r="AO290" s="454"/>
      <c r="AP290" s="454"/>
      <c r="AQ290" s="452"/>
      <c r="AR290" s="452"/>
      <c r="AS290" s="494">
        <v>1089</v>
      </c>
      <c r="AT290" s="494">
        <v>980</v>
      </c>
      <c r="AU290" s="495"/>
      <c r="AV290" s="495"/>
      <c r="AW290" s="147"/>
      <c r="AX290" s="119"/>
      <c r="BB290" s="119">
        <v>1</v>
      </c>
      <c r="BC290" s="119">
        <v>6</v>
      </c>
    </row>
    <row r="291" spans="1:55" ht="31.5" x14ac:dyDescent="0.25">
      <c r="A291" s="448" t="s">
        <v>1197</v>
      </c>
      <c r="B291" s="449" t="s">
        <v>1198</v>
      </c>
      <c r="C291" s="450" t="s">
        <v>1124</v>
      </c>
      <c r="D291" s="450"/>
      <c r="E291" s="450">
        <v>2020</v>
      </c>
      <c r="F291" s="450"/>
      <c r="G291" s="452"/>
      <c r="H291" s="452"/>
      <c r="I291" s="492"/>
      <c r="J291" s="492"/>
      <c r="K291" s="492"/>
      <c r="L291" s="492"/>
      <c r="M291" s="492"/>
      <c r="N291" s="492"/>
      <c r="O291" s="492"/>
      <c r="P291" s="492"/>
      <c r="Q291" s="492"/>
      <c r="R291" s="492"/>
      <c r="S291" s="492"/>
      <c r="T291" s="492"/>
      <c r="U291" s="492"/>
      <c r="V291" s="492"/>
      <c r="W291" s="492"/>
      <c r="X291" s="453">
        <v>600</v>
      </c>
      <c r="Y291" s="453">
        <v>600</v>
      </c>
      <c r="Z291" s="453"/>
      <c r="AA291" s="453"/>
      <c r="AB291" s="453"/>
      <c r="AC291" s="452"/>
      <c r="AD291" s="452"/>
      <c r="AE291" s="452"/>
      <c r="AF291" s="452"/>
      <c r="AG291" s="452"/>
      <c r="AH291" s="452"/>
      <c r="AI291" s="452"/>
      <c r="AJ291" s="454"/>
      <c r="AK291" s="454">
        <f t="shared" si="40"/>
        <v>0</v>
      </c>
      <c r="AL291" s="454">
        <f t="shared" si="41"/>
        <v>0</v>
      </c>
      <c r="AM291" s="534">
        <v>667</v>
      </c>
      <c r="AN291" s="535">
        <v>600</v>
      </c>
      <c r="AO291" s="454"/>
      <c r="AP291" s="454"/>
      <c r="AQ291" s="452"/>
      <c r="AR291" s="452">
        <v>300</v>
      </c>
      <c r="AS291" s="536">
        <v>600</v>
      </c>
      <c r="AT291" s="515">
        <v>300</v>
      </c>
      <c r="AU291" s="495"/>
      <c r="AV291" s="495"/>
      <c r="AW291" s="147"/>
      <c r="AX291" s="119"/>
      <c r="BB291" s="119">
        <v>1</v>
      </c>
      <c r="BC291" s="119">
        <v>6</v>
      </c>
    </row>
    <row r="292" spans="1:55" ht="31.5" x14ac:dyDescent="0.25">
      <c r="A292" s="448" t="s">
        <v>1199</v>
      </c>
      <c r="B292" s="449" t="s">
        <v>1200</v>
      </c>
      <c r="C292" s="450" t="s">
        <v>1201</v>
      </c>
      <c r="D292" s="450"/>
      <c r="E292" s="450">
        <v>2020</v>
      </c>
      <c r="F292" s="450"/>
      <c r="G292" s="452"/>
      <c r="H292" s="452"/>
      <c r="I292" s="492"/>
      <c r="J292" s="492"/>
      <c r="K292" s="492"/>
      <c r="L292" s="492"/>
      <c r="M292" s="492"/>
      <c r="N292" s="492"/>
      <c r="O292" s="492"/>
      <c r="P292" s="492"/>
      <c r="Q292" s="492"/>
      <c r="R292" s="492"/>
      <c r="S292" s="492"/>
      <c r="T292" s="492"/>
      <c r="U292" s="492"/>
      <c r="V292" s="492"/>
      <c r="W292" s="492"/>
      <c r="X292" s="453">
        <v>1023</v>
      </c>
      <c r="Y292" s="453">
        <v>1023</v>
      </c>
      <c r="Z292" s="453"/>
      <c r="AA292" s="453"/>
      <c r="AB292" s="453"/>
      <c r="AC292" s="452"/>
      <c r="AD292" s="452"/>
      <c r="AE292" s="452"/>
      <c r="AF292" s="452"/>
      <c r="AG292" s="452"/>
      <c r="AH292" s="452"/>
      <c r="AI292" s="452"/>
      <c r="AJ292" s="454"/>
      <c r="AK292" s="454">
        <f t="shared" si="40"/>
        <v>0</v>
      </c>
      <c r="AL292" s="454">
        <f t="shared" si="41"/>
        <v>0</v>
      </c>
      <c r="AM292" s="454">
        <v>1137</v>
      </c>
      <c r="AN292" s="454">
        <v>1023</v>
      </c>
      <c r="AO292" s="454"/>
      <c r="AP292" s="454"/>
      <c r="AQ292" s="452"/>
      <c r="AR292" s="452"/>
      <c r="AS292" s="494">
        <v>1137</v>
      </c>
      <c r="AT292" s="494">
        <v>1023</v>
      </c>
      <c r="AU292" s="495"/>
      <c r="AV292" s="495"/>
      <c r="AW292" s="147"/>
      <c r="AX292" s="119"/>
      <c r="BB292" s="119">
        <v>1</v>
      </c>
      <c r="BC292" s="119">
        <v>6</v>
      </c>
    </row>
    <row r="293" spans="1:55" ht="63" x14ac:dyDescent="0.25">
      <c r="A293" s="448" t="s">
        <v>1202</v>
      </c>
      <c r="B293" s="449" t="s">
        <v>1203</v>
      </c>
      <c r="C293" s="450" t="s">
        <v>1146</v>
      </c>
      <c r="D293" s="450"/>
      <c r="E293" s="450">
        <v>2020</v>
      </c>
      <c r="F293" s="450"/>
      <c r="G293" s="452"/>
      <c r="H293" s="452"/>
      <c r="I293" s="492"/>
      <c r="J293" s="492"/>
      <c r="K293" s="492"/>
      <c r="L293" s="492"/>
      <c r="M293" s="492"/>
      <c r="N293" s="492"/>
      <c r="O293" s="492"/>
      <c r="P293" s="492"/>
      <c r="Q293" s="492"/>
      <c r="R293" s="492"/>
      <c r="S293" s="492"/>
      <c r="T293" s="492"/>
      <c r="U293" s="492"/>
      <c r="V293" s="492"/>
      <c r="W293" s="492"/>
      <c r="X293" s="453">
        <v>870</v>
      </c>
      <c r="Y293" s="453">
        <v>870</v>
      </c>
      <c r="Z293" s="453"/>
      <c r="AA293" s="453"/>
      <c r="AB293" s="453"/>
      <c r="AC293" s="452"/>
      <c r="AD293" s="452"/>
      <c r="AE293" s="452"/>
      <c r="AF293" s="452"/>
      <c r="AG293" s="452"/>
      <c r="AH293" s="452"/>
      <c r="AI293" s="452"/>
      <c r="AJ293" s="454"/>
      <c r="AK293" s="454">
        <f t="shared" si="40"/>
        <v>0</v>
      </c>
      <c r="AL293" s="454">
        <f t="shared" si="41"/>
        <v>0</v>
      </c>
      <c r="AM293" s="454">
        <v>967</v>
      </c>
      <c r="AN293" s="454">
        <v>870</v>
      </c>
      <c r="AO293" s="454"/>
      <c r="AP293" s="454"/>
      <c r="AQ293" s="452"/>
      <c r="AR293" s="452"/>
      <c r="AS293" s="494">
        <v>967</v>
      </c>
      <c r="AT293" s="494">
        <v>870</v>
      </c>
      <c r="AU293" s="495"/>
      <c r="AV293" s="495"/>
      <c r="AW293" s="147"/>
      <c r="AX293" s="119"/>
      <c r="BB293" s="119">
        <v>1</v>
      </c>
      <c r="BC293" s="119">
        <v>6</v>
      </c>
    </row>
    <row r="294" spans="1:55" ht="31.5" x14ac:dyDescent="0.25">
      <c r="A294" s="448" t="s">
        <v>1204</v>
      </c>
      <c r="B294" s="449" t="s">
        <v>1205</v>
      </c>
      <c r="C294" s="450" t="s">
        <v>1206</v>
      </c>
      <c r="D294" s="450"/>
      <c r="E294" s="450">
        <v>2020</v>
      </c>
      <c r="F294" s="450"/>
      <c r="G294" s="452"/>
      <c r="H294" s="452"/>
      <c r="I294" s="492"/>
      <c r="J294" s="492"/>
      <c r="K294" s="492"/>
      <c r="L294" s="492"/>
      <c r="M294" s="492"/>
      <c r="N294" s="492"/>
      <c r="O294" s="492"/>
      <c r="P294" s="492"/>
      <c r="Q294" s="492"/>
      <c r="R294" s="492"/>
      <c r="S294" s="492"/>
      <c r="T294" s="492"/>
      <c r="U294" s="492"/>
      <c r="V294" s="492"/>
      <c r="W294" s="492"/>
      <c r="X294" s="453">
        <v>1500</v>
      </c>
      <c r="Y294" s="453">
        <v>1500</v>
      </c>
      <c r="Z294" s="453"/>
      <c r="AA294" s="453"/>
      <c r="AB294" s="453"/>
      <c r="AC294" s="452"/>
      <c r="AD294" s="452"/>
      <c r="AE294" s="452"/>
      <c r="AF294" s="452"/>
      <c r="AG294" s="452"/>
      <c r="AH294" s="452"/>
      <c r="AI294" s="452"/>
      <c r="AJ294" s="454"/>
      <c r="AK294" s="454">
        <f t="shared" si="40"/>
        <v>0</v>
      </c>
      <c r="AL294" s="454">
        <f t="shared" si="41"/>
        <v>0</v>
      </c>
      <c r="AM294" s="454">
        <v>1667</v>
      </c>
      <c r="AN294" s="454">
        <v>1500</v>
      </c>
      <c r="AO294" s="454"/>
      <c r="AP294" s="454"/>
      <c r="AQ294" s="452"/>
      <c r="AR294" s="452"/>
      <c r="AS294" s="494">
        <v>1667</v>
      </c>
      <c r="AT294" s="494">
        <v>1500</v>
      </c>
      <c r="AU294" s="495"/>
      <c r="AV294" s="495"/>
      <c r="AW294" s="147"/>
      <c r="AX294" s="119"/>
      <c r="BB294" s="119">
        <v>1</v>
      </c>
      <c r="BC294" s="119">
        <v>6</v>
      </c>
    </row>
    <row r="295" spans="1:55" ht="31.5" x14ac:dyDescent="0.25">
      <c r="A295" s="448" t="s">
        <v>1207</v>
      </c>
      <c r="B295" s="449" t="s">
        <v>1208</v>
      </c>
      <c r="C295" s="450" t="s">
        <v>1128</v>
      </c>
      <c r="D295" s="450"/>
      <c r="E295" s="450">
        <v>2020</v>
      </c>
      <c r="F295" s="450"/>
      <c r="G295" s="452"/>
      <c r="H295" s="452"/>
      <c r="I295" s="492"/>
      <c r="J295" s="492"/>
      <c r="K295" s="492"/>
      <c r="L295" s="492"/>
      <c r="M295" s="492"/>
      <c r="N295" s="492"/>
      <c r="O295" s="492"/>
      <c r="P295" s="492"/>
      <c r="Q295" s="492"/>
      <c r="R295" s="492"/>
      <c r="S295" s="492"/>
      <c r="T295" s="492"/>
      <c r="U295" s="492"/>
      <c r="V295" s="492"/>
      <c r="W295" s="492"/>
      <c r="X295" s="453">
        <v>870</v>
      </c>
      <c r="Y295" s="453">
        <v>870</v>
      </c>
      <c r="Z295" s="453"/>
      <c r="AA295" s="453"/>
      <c r="AB295" s="453"/>
      <c r="AC295" s="452"/>
      <c r="AD295" s="452"/>
      <c r="AE295" s="452"/>
      <c r="AF295" s="452"/>
      <c r="AG295" s="452"/>
      <c r="AH295" s="452"/>
      <c r="AI295" s="452"/>
      <c r="AJ295" s="454"/>
      <c r="AK295" s="454">
        <f t="shared" si="40"/>
        <v>0</v>
      </c>
      <c r="AL295" s="454">
        <f t="shared" si="41"/>
        <v>0</v>
      </c>
      <c r="AM295" s="454">
        <v>967</v>
      </c>
      <c r="AN295" s="454">
        <v>870</v>
      </c>
      <c r="AO295" s="454"/>
      <c r="AP295" s="454"/>
      <c r="AQ295" s="452"/>
      <c r="AR295" s="452"/>
      <c r="AS295" s="494">
        <v>967</v>
      </c>
      <c r="AT295" s="494">
        <v>870</v>
      </c>
      <c r="AU295" s="495"/>
      <c r="AV295" s="495"/>
      <c r="AW295" s="147"/>
      <c r="AX295" s="119"/>
      <c r="BB295" s="119">
        <v>1</v>
      </c>
      <c r="BC295" s="119">
        <v>6</v>
      </c>
    </row>
    <row r="296" spans="1:55" ht="31.5" x14ac:dyDescent="0.25">
      <c r="A296" s="448" t="s">
        <v>1209</v>
      </c>
      <c r="B296" s="449" t="s">
        <v>1210</v>
      </c>
      <c r="C296" s="450" t="s">
        <v>1108</v>
      </c>
      <c r="D296" s="450"/>
      <c r="E296" s="450">
        <v>2020</v>
      </c>
      <c r="F296" s="450"/>
      <c r="G296" s="452"/>
      <c r="H296" s="452"/>
      <c r="I296" s="492"/>
      <c r="J296" s="492"/>
      <c r="K296" s="492"/>
      <c r="L296" s="492"/>
      <c r="M296" s="492"/>
      <c r="N296" s="492"/>
      <c r="O296" s="492"/>
      <c r="P296" s="492"/>
      <c r="Q296" s="492"/>
      <c r="R296" s="492"/>
      <c r="S296" s="492"/>
      <c r="T296" s="492"/>
      <c r="U296" s="492"/>
      <c r="V296" s="492"/>
      <c r="W296" s="492"/>
      <c r="X296" s="453">
        <v>1700</v>
      </c>
      <c r="Y296" s="453">
        <v>1700</v>
      </c>
      <c r="Z296" s="453"/>
      <c r="AA296" s="453"/>
      <c r="AB296" s="453"/>
      <c r="AC296" s="452"/>
      <c r="AD296" s="452"/>
      <c r="AE296" s="452"/>
      <c r="AF296" s="452"/>
      <c r="AG296" s="452"/>
      <c r="AH296" s="452"/>
      <c r="AI296" s="452"/>
      <c r="AJ296" s="454"/>
      <c r="AK296" s="454">
        <f t="shared" si="40"/>
        <v>0</v>
      </c>
      <c r="AL296" s="454">
        <f t="shared" si="41"/>
        <v>0</v>
      </c>
      <c r="AM296" s="454">
        <v>1889</v>
      </c>
      <c r="AN296" s="454">
        <v>1700</v>
      </c>
      <c r="AO296" s="454"/>
      <c r="AP296" s="454"/>
      <c r="AQ296" s="452"/>
      <c r="AR296" s="452">
        <v>1700</v>
      </c>
      <c r="AS296" s="494">
        <v>0</v>
      </c>
      <c r="AT296" s="494">
        <v>0</v>
      </c>
      <c r="AU296" s="495"/>
      <c r="AV296" s="495"/>
      <c r="AW296" s="147"/>
      <c r="AX296" s="119"/>
      <c r="BB296" s="119">
        <v>1</v>
      </c>
      <c r="BC296" s="119">
        <v>6</v>
      </c>
    </row>
    <row r="297" spans="1:55" ht="31.5" x14ac:dyDescent="0.25">
      <c r="A297" s="448" t="s">
        <v>1211</v>
      </c>
      <c r="B297" s="449" t="s">
        <v>1212</v>
      </c>
      <c r="C297" s="450" t="s">
        <v>1095</v>
      </c>
      <c r="D297" s="450"/>
      <c r="E297" s="450">
        <v>2020</v>
      </c>
      <c r="F297" s="450"/>
      <c r="G297" s="452"/>
      <c r="H297" s="452"/>
      <c r="I297" s="492"/>
      <c r="J297" s="492"/>
      <c r="K297" s="492"/>
      <c r="L297" s="492"/>
      <c r="M297" s="492"/>
      <c r="N297" s="492"/>
      <c r="O297" s="492"/>
      <c r="P297" s="492"/>
      <c r="Q297" s="492"/>
      <c r="R297" s="492"/>
      <c r="S297" s="492"/>
      <c r="T297" s="492"/>
      <c r="U297" s="492"/>
      <c r="V297" s="492"/>
      <c r="W297" s="492"/>
      <c r="X297" s="453">
        <v>2668</v>
      </c>
      <c r="Y297" s="453">
        <v>2668</v>
      </c>
      <c r="Z297" s="453"/>
      <c r="AA297" s="453"/>
      <c r="AB297" s="453"/>
      <c r="AC297" s="452"/>
      <c r="AD297" s="452"/>
      <c r="AE297" s="452"/>
      <c r="AF297" s="452"/>
      <c r="AG297" s="452"/>
      <c r="AH297" s="452"/>
      <c r="AI297" s="452"/>
      <c r="AJ297" s="454"/>
      <c r="AK297" s="454">
        <f t="shared" si="40"/>
        <v>0</v>
      </c>
      <c r="AL297" s="454">
        <f t="shared" si="41"/>
        <v>0</v>
      </c>
      <c r="AM297" s="454">
        <v>2964</v>
      </c>
      <c r="AN297" s="454">
        <v>2668</v>
      </c>
      <c r="AO297" s="454"/>
      <c r="AP297" s="454"/>
      <c r="AQ297" s="452"/>
      <c r="AR297" s="452"/>
      <c r="AS297" s="494">
        <v>2964</v>
      </c>
      <c r="AT297" s="494">
        <v>2668</v>
      </c>
      <c r="AU297" s="495"/>
      <c r="AV297" s="495"/>
      <c r="AW297" s="147"/>
      <c r="AX297" s="119"/>
      <c r="BB297" s="119">
        <v>1</v>
      </c>
      <c r="BC297" s="119">
        <v>6</v>
      </c>
    </row>
    <row r="298" spans="1:55" ht="31.5" x14ac:dyDescent="0.25">
      <c r="A298" s="448" t="s">
        <v>1213</v>
      </c>
      <c r="B298" s="449" t="s">
        <v>1214</v>
      </c>
      <c r="C298" s="450" t="s">
        <v>1119</v>
      </c>
      <c r="D298" s="450"/>
      <c r="E298" s="450">
        <v>2020</v>
      </c>
      <c r="F298" s="450"/>
      <c r="G298" s="452"/>
      <c r="H298" s="452"/>
      <c r="I298" s="492"/>
      <c r="J298" s="492"/>
      <c r="K298" s="492"/>
      <c r="L298" s="492"/>
      <c r="M298" s="492"/>
      <c r="N298" s="492"/>
      <c r="O298" s="492"/>
      <c r="P298" s="492"/>
      <c r="Q298" s="492"/>
      <c r="R298" s="492"/>
      <c r="S298" s="492"/>
      <c r="T298" s="492"/>
      <c r="U298" s="492"/>
      <c r="V298" s="492"/>
      <c r="W298" s="492"/>
      <c r="X298" s="453">
        <v>1200</v>
      </c>
      <c r="Y298" s="453">
        <v>1200</v>
      </c>
      <c r="Z298" s="453"/>
      <c r="AA298" s="453"/>
      <c r="AB298" s="453"/>
      <c r="AC298" s="452"/>
      <c r="AD298" s="452"/>
      <c r="AE298" s="452"/>
      <c r="AF298" s="452"/>
      <c r="AG298" s="452"/>
      <c r="AH298" s="452"/>
      <c r="AI298" s="452"/>
      <c r="AJ298" s="454"/>
      <c r="AK298" s="454">
        <f t="shared" si="40"/>
        <v>0</v>
      </c>
      <c r="AL298" s="454">
        <f t="shared" si="41"/>
        <v>0</v>
      </c>
      <c r="AM298" s="454">
        <v>1333</v>
      </c>
      <c r="AN298" s="454">
        <v>1200</v>
      </c>
      <c r="AO298" s="454"/>
      <c r="AP298" s="454"/>
      <c r="AQ298" s="452"/>
      <c r="AR298" s="452"/>
      <c r="AS298" s="494">
        <v>1333</v>
      </c>
      <c r="AT298" s="494">
        <v>1200</v>
      </c>
      <c r="AU298" s="495"/>
      <c r="AV298" s="495"/>
      <c r="AW298" s="147"/>
      <c r="AX298" s="119"/>
      <c r="BB298" s="119">
        <v>1</v>
      </c>
      <c r="BC298" s="119">
        <v>6</v>
      </c>
    </row>
    <row r="299" spans="1:55" ht="47.25" x14ac:dyDescent="0.25">
      <c r="A299" s="448" t="s">
        <v>1215</v>
      </c>
      <c r="B299" s="449" t="s">
        <v>1216</v>
      </c>
      <c r="C299" s="450" t="s">
        <v>1062</v>
      </c>
      <c r="D299" s="450"/>
      <c r="E299" s="450">
        <v>2020</v>
      </c>
      <c r="F299" s="450"/>
      <c r="G299" s="452"/>
      <c r="H299" s="452"/>
      <c r="I299" s="492"/>
      <c r="J299" s="492"/>
      <c r="K299" s="492"/>
      <c r="L299" s="492"/>
      <c r="M299" s="492"/>
      <c r="N299" s="492"/>
      <c r="O299" s="492"/>
      <c r="P299" s="492"/>
      <c r="Q299" s="492"/>
      <c r="R299" s="492"/>
      <c r="S299" s="492"/>
      <c r="T299" s="492"/>
      <c r="U299" s="492"/>
      <c r="V299" s="492"/>
      <c r="W299" s="492"/>
      <c r="X299" s="453">
        <v>2500</v>
      </c>
      <c r="Y299" s="453">
        <v>2500</v>
      </c>
      <c r="Z299" s="453"/>
      <c r="AA299" s="453"/>
      <c r="AB299" s="453"/>
      <c r="AC299" s="452"/>
      <c r="AD299" s="452"/>
      <c r="AE299" s="452"/>
      <c r="AF299" s="452"/>
      <c r="AG299" s="452"/>
      <c r="AH299" s="452"/>
      <c r="AI299" s="452"/>
      <c r="AJ299" s="454"/>
      <c r="AK299" s="454">
        <f t="shared" si="40"/>
        <v>0</v>
      </c>
      <c r="AL299" s="454">
        <f t="shared" si="41"/>
        <v>0</v>
      </c>
      <c r="AM299" s="454">
        <v>2778</v>
      </c>
      <c r="AN299" s="454">
        <v>2500</v>
      </c>
      <c r="AO299" s="454"/>
      <c r="AP299" s="454"/>
      <c r="AQ299" s="452"/>
      <c r="AR299" s="452"/>
      <c r="AS299" s="494">
        <v>2778</v>
      </c>
      <c r="AT299" s="494">
        <v>2500</v>
      </c>
      <c r="AU299" s="495"/>
      <c r="AV299" s="495"/>
      <c r="AW299" s="147"/>
      <c r="AX299" s="119"/>
      <c r="BB299" s="119">
        <v>1</v>
      </c>
      <c r="BC299" s="119">
        <v>6</v>
      </c>
    </row>
    <row r="300" spans="1:55" ht="47.25" x14ac:dyDescent="0.25">
      <c r="A300" s="448" t="s">
        <v>1217</v>
      </c>
      <c r="B300" s="449" t="s">
        <v>1218</v>
      </c>
      <c r="C300" s="450" t="s">
        <v>1066</v>
      </c>
      <c r="D300" s="450"/>
      <c r="E300" s="450">
        <v>2020</v>
      </c>
      <c r="F300" s="450"/>
      <c r="G300" s="452"/>
      <c r="H300" s="452"/>
      <c r="I300" s="492"/>
      <c r="J300" s="492"/>
      <c r="K300" s="492"/>
      <c r="L300" s="492"/>
      <c r="M300" s="492"/>
      <c r="N300" s="492"/>
      <c r="O300" s="492"/>
      <c r="P300" s="492"/>
      <c r="Q300" s="492"/>
      <c r="R300" s="492"/>
      <c r="S300" s="492"/>
      <c r="T300" s="492"/>
      <c r="U300" s="492"/>
      <c r="V300" s="492"/>
      <c r="W300" s="492"/>
      <c r="X300" s="453">
        <v>1000</v>
      </c>
      <c r="Y300" s="453">
        <v>1000</v>
      </c>
      <c r="Z300" s="453"/>
      <c r="AA300" s="453"/>
      <c r="AB300" s="453"/>
      <c r="AC300" s="452"/>
      <c r="AD300" s="452"/>
      <c r="AE300" s="452"/>
      <c r="AF300" s="452"/>
      <c r="AG300" s="452"/>
      <c r="AH300" s="452"/>
      <c r="AI300" s="452"/>
      <c r="AJ300" s="454"/>
      <c r="AK300" s="454">
        <f t="shared" si="40"/>
        <v>0</v>
      </c>
      <c r="AL300" s="454">
        <f t="shared" si="41"/>
        <v>0</v>
      </c>
      <c r="AM300" s="454">
        <v>1429</v>
      </c>
      <c r="AN300" s="454">
        <v>1000</v>
      </c>
      <c r="AO300" s="454"/>
      <c r="AP300" s="454"/>
      <c r="AQ300" s="452"/>
      <c r="AR300" s="452"/>
      <c r="AS300" s="494">
        <v>1429</v>
      </c>
      <c r="AT300" s="494">
        <v>1000</v>
      </c>
      <c r="AU300" s="495"/>
      <c r="AV300" s="495"/>
      <c r="AW300" s="147"/>
      <c r="AX300" s="119"/>
      <c r="BB300" s="119">
        <v>1</v>
      </c>
      <c r="BC300" s="119">
        <v>6</v>
      </c>
    </row>
    <row r="301" spans="1:55" ht="47.25" x14ac:dyDescent="0.25">
      <c r="A301" s="448" t="s">
        <v>1219</v>
      </c>
      <c r="B301" s="449" t="s">
        <v>1220</v>
      </c>
      <c r="C301" s="450" t="s">
        <v>1072</v>
      </c>
      <c r="D301" s="450"/>
      <c r="E301" s="450">
        <v>2020</v>
      </c>
      <c r="F301" s="450"/>
      <c r="G301" s="452"/>
      <c r="H301" s="452"/>
      <c r="I301" s="492"/>
      <c r="J301" s="492"/>
      <c r="K301" s="492"/>
      <c r="L301" s="492"/>
      <c r="M301" s="492"/>
      <c r="N301" s="492"/>
      <c r="O301" s="492"/>
      <c r="P301" s="492"/>
      <c r="Q301" s="492"/>
      <c r="R301" s="492"/>
      <c r="S301" s="492"/>
      <c r="T301" s="492"/>
      <c r="U301" s="492"/>
      <c r="V301" s="492"/>
      <c r="W301" s="492"/>
      <c r="X301" s="453">
        <v>2500</v>
      </c>
      <c r="Y301" s="453">
        <v>2500</v>
      </c>
      <c r="Z301" s="453"/>
      <c r="AA301" s="453"/>
      <c r="AB301" s="453"/>
      <c r="AC301" s="452"/>
      <c r="AD301" s="452"/>
      <c r="AE301" s="452"/>
      <c r="AF301" s="452"/>
      <c r="AG301" s="452"/>
      <c r="AH301" s="452"/>
      <c r="AI301" s="452"/>
      <c r="AJ301" s="454"/>
      <c r="AK301" s="454">
        <f t="shared" si="40"/>
        <v>0</v>
      </c>
      <c r="AL301" s="454">
        <f t="shared" si="41"/>
        <v>0</v>
      </c>
      <c r="AM301" s="454">
        <v>2778</v>
      </c>
      <c r="AN301" s="454">
        <v>2500</v>
      </c>
      <c r="AO301" s="454"/>
      <c r="AP301" s="454"/>
      <c r="AQ301" s="452"/>
      <c r="AR301" s="452"/>
      <c r="AS301" s="494">
        <v>2778</v>
      </c>
      <c r="AT301" s="494">
        <v>2500</v>
      </c>
      <c r="AU301" s="495"/>
      <c r="AV301" s="495"/>
      <c r="AW301" s="147"/>
      <c r="AX301" s="119"/>
      <c r="BB301" s="119">
        <v>1</v>
      </c>
      <c r="BC301" s="119">
        <v>6</v>
      </c>
    </row>
    <row r="302" spans="1:55" ht="47.25" x14ac:dyDescent="0.25">
      <c r="A302" s="448" t="s">
        <v>1221</v>
      </c>
      <c r="B302" s="449" t="s">
        <v>1222</v>
      </c>
      <c r="C302" s="450" t="s">
        <v>1164</v>
      </c>
      <c r="D302" s="450"/>
      <c r="E302" s="450">
        <v>2020</v>
      </c>
      <c r="F302" s="450"/>
      <c r="G302" s="452"/>
      <c r="H302" s="452"/>
      <c r="I302" s="492"/>
      <c r="J302" s="492"/>
      <c r="K302" s="492"/>
      <c r="L302" s="492"/>
      <c r="M302" s="492"/>
      <c r="N302" s="492"/>
      <c r="O302" s="492"/>
      <c r="P302" s="492"/>
      <c r="Q302" s="492"/>
      <c r="R302" s="492"/>
      <c r="S302" s="492"/>
      <c r="T302" s="492"/>
      <c r="U302" s="492"/>
      <c r="V302" s="492"/>
      <c r="W302" s="492"/>
      <c r="X302" s="453">
        <v>870</v>
      </c>
      <c r="Y302" s="453">
        <v>870</v>
      </c>
      <c r="Z302" s="453"/>
      <c r="AA302" s="453"/>
      <c r="AB302" s="453"/>
      <c r="AC302" s="452"/>
      <c r="AD302" s="452"/>
      <c r="AE302" s="452"/>
      <c r="AF302" s="452"/>
      <c r="AG302" s="452"/>
      <c r="AH302" s="452"/>
      <c r="AI302" s="452"/>
      <c r="AJ302" s="454"/>
      <c r="AK302" s="454">
        <f t="shared" si="40"/>
        <v>0</v>
      </c>
      <c r="AL302" s="454">
        <f t="shared" si="41"/>
        <v>0</v>
      </c>
      <c r="AM302" s="454">
        <v>1024</v>
      </c>
      <c r="AN302" s="454">
        <v>870</v>
      </c>
      <c r="AO302" s="454"/>
      <c r="AP302" s="454"/>
      <c r="AQ302" s="452"/>
      <c r="AR302" s="452"/>
      <c r="AS302" s="494">
        <v>1024</v>
      </c>
      <c r="AT302" s="494">
        <v>870</v>
      </c>
      <c r="AU302" s="495"/>
      <c r="AV302" s="495"/>
      <c r="AW302" s="147"/>
      <c r="AX302" s="119"/>
      <c r="BB302" s="119">
        <v>1</v>
      </c>
      <c r="BC302" s="119">
        <v>6</v>
      </c>
    </row>
    <row r="303" spans="1:55" ht="31.5" x14ac:dyDescent="0.25">
      <c r="A303" s="448" t="s">
        <v>1223</v>
      </c>
      <c r="B303" s="449" t="s">
        <v>1224</v>
      </c>
      <c r="C303" s="450" t="s">
        <v>1148</v>
      </c>
      <c r="D303" s="450"/>
      <c r="E303" s="450">
        <v>2020</v>
      </c>
      <c r="F303" s="450"/>
      <c r="G303" s="452"/>
      <c r="H303" s="452"/>
      <c r="I303" s="492"/>
      <c r="J303" s="492"/>
      <c r="K303" s="492"/>
      <c r="L303" s="492"/>
      <c r="M303" s="492"/>
      <c r="N303" s="492"/>
      <c r="O303" s="492"/>
      <c r="P303" s="492"/>
      <c r="Q303" s="492"/>
      <c r="R303" s="492"/>
      <c r="S303" s="492"/>
      <c r="T303" s="492"/>
      <c r="U303" s="492"/>
      <c r="V303" s="492"/>
      <c r="W303" s="492"/>
      <c r="X303" s="453">
        <v>2500</v>
      </c>
      <c r="Y303" s="453">
        <v>2500</v>
      </c>
      <c r="Z303" s="453"/>
      <c r="AA303" s="453"/>
      <c r="AB303" s="453"/>
      <c r="AC303" s="452"/>
      <c r="AD303" s="452"/>
      <c r="AE303" s="452"/>
      <c r="AF303" s="452"/>
      <c r="AG303" s="452"/>
      <c r="AH303" s="452"/>
      <c r="AI303" s="452"/>
      <c r="AJ303" s="454"/>
      <c r="AK303" s="454">
        <f t="shared" si="40"/>
        <v>0</v>
      </c>
      <c r="AL303" s="454">
        <f t="shared" si="41"/>
        <v>0</v>
      </c>
      <c r="AM303" s="534">
        <v>2500</v>
      </c>
      <c r="AN303" s="537">
        <v>2500</v>
      </c>
      <c r="AO303" s="454"/>
      <c r="AP303" s="454"/>
      <c r="AQ303" s="452"/>
      <c r="AR303" s="452"/>
      <c r="AS303" s="536">
        <v>5000</v>
      </c>
      <c r="AT303" s="536">
        <v>2500</v>
      </c>
      <c r="AU303" s="495"/>
      <c r="AV303" s="495"/>
      <c r="AW303" s="147"/>
      <c r="AX303" s="119"/>
      <c r="BB303" s="119">
        <v>1</v>
      </c>
      <c r="BC303" s="119">
        <v>6</v>
      </c>
    </row>
    <row r="304" spans="1:55" ht="31.5" x14ac:dyDescent="0.25">
      <c r="A304" s="448" t="s">
        <v>1225</v>
      </c>
      <c r="B304" s="449" t="s">
        <v>1226</v>
      </c>
      <c r="C304" s="450" t="s">
        <v>1155</v>
      </c>
      <c r="D304" s="450"/>
      <c r="E304" s="450">
        <v>2020</v>
      </c>
      <c r="F304" s="450"/>
      <c r="G304" s="452"/>
      <c r="H304" s="452"/>
      <c r="I304" s="492"/>
      <c r="J304" s="492"/>
      <c r="K304" s="492"/>
      <c r="L304" s="492"/>
      <c r="M304" s="492"/>
      <c r="N304" s="492"/>
      <c r="O304" s="492"/>
      <c r="P304" s="492"/>
      <c r="Q304" s="492"/>
      <c r="R304" s="492"/>
      <c r="S304" s="492"/>
      <c r="T304" s="492"/>
      <c r="U304" s="492"/>
      <c r="V304" s="492"/>
      <c r="W304" s="492"/>
      <c r="X304" s="453">
        <v>2000</v>
      </c>
      <c r="Y304" s="453">
        <v>2000</v>
      </c>
      <c r="Z304" s="453"/>
      <c r="AA304" s="453"/>
      <c r="AB304" s="453"/>
      <c r="AC304" s="452"/>
      <c r="AD304" s="452"/>
      <c r="AE304" s="452"/>
      <c r="AF304" s="452"/>
      <c r="AG304" s="452"/>
      <c r="AH304" s="452"/>
      <c r="AI304" s="452"/>
      <c r="AJ304" s="454"/>
      <c r="AK304" s="454">
        <f t="shared" si="40"/>
        <v>0</v>
      </c>
      <c r="AL304" s="454">
        <f t="shared" si="41"/>
        <v>0</v>
      </c>
      <c r="AM304" s="454">
        <v>2222</v>
      </c>
      <c r="AN304" s="454">
        <v>2000</v>
      </c>
      <c r="AO304" s="454"/>
      <c r="AP304" s="454"/>
      <c r="AQ304" s="452"/>
      <c r="AR304" s="452"/>
      <c r="AS304" s="494">
        <v>2222</v>
      </c>
      <c r="AT304" s="494">
        <v>2000</v>
      </c>
      <c r="AU304" s="495"/>
      <c r="AV304" s="495"/>
      <c r="AW304" s="147"/>
      <c r="AX304" s="119"/>
      <c r="BB304" s="119">
        <v>1</v>
      </c>
      <c r="BC304" s="119">
        <v>6</v>
      </c>
    </row>
    <row r="305" spans="1:55" ht="31.5" x14ac:dyDescent="0.25">
      <c r="A305" s="448" t="s">
        <v>1227</v>
      </c>
      <c r="B305" s="449" t="s">
        <v>1228</v>
      </c>
      <c r="C305" s="450" t="s">
        <v>1119</v>
      </c>
      <c r="D305" s="450"/>
      <c r="E305" s="450">
        <v>2020</v>
      </c>
      <c r="F305" s="450"/>
      <c r="G305" s="452"/>
      <c r="H305" s="452"/>
      <c r="I305" s="492"/>
      <c r="J305" s="492"/>
      <c r="K305" s="492"/>
      <c r="L305" s="492"/>
      <c r="M305" s="492"/>
      <c r="N305" s="492"/>
      <c r="O305" s="492"/>
      <c r="P305" s="492"/>
      <c r="Q305" s="492"/>
      <c r="R305" s="492"/>
      <c r="S305" s="492"/>
      <c r="T305" s="492"/>
      <c r="U305" s="492"/>
      <c r="V305" s="492"/>
      <c r="W305" s="492"/>
      <c r="X305" s="453">
        <v>2000</v>
      </c>
      <c r="Y305" s="453">
        <v>2000</v>
      </c>
      <c r="Z305" s="453"/>
      <c r="AA305" s="453"/>
      <c r="AB305" s="453"/>
      <c r="AC305" s="452"/>
      <c r="AD305" s="452"/>
      <c r="AE305" s="452"/>
      <c r="AF305" s="452"/>
      <c r="AG305" s="452"/>
      <c r="AH305" s="452"/>
      <c r="AI305" s="452"/>
      <c r="AJ305" s="454"/>
      <c r="AK305" s="454">
        <f t="shared" si="40"/>
        <v>0</v>
      </c>
      <c r="AL305" s="454">
        <f t="shared" si="41"/>
        <v>0</v>
      </c>
      <c r="AM305" s="454">
        <v>2222</v>
      </c>
      <c r="AN305" s="454">
        <v>2000</v>
      </c>
      <c r="AO305" s="454"/>
      <c r="AP305" s="454"/>
      <c r="AQ305" s="452"/>
      <c r="AR305" s="452">
        <v>2000</v>
      </c>
      <c r="AS305" s="494">
        <v>0</v>
      </c>
      <c r="AT305" s="494">
        <v>0</v>
      </c>
      <c r="AU305" s="495"/>
      <c r="AV305" s="495"/>
      <c r="AW305" s="147"/>
      <c r="AX305" s="119"/>
      <c r="BB305" s="119">
        <v>1</v>
      </c>
      <c r="BC305" s="119">
        <v>6</v>
      </c>
    </row>
    <row r="306" spans="1:55" ht="31.5" x14ac:dyDescent="0.25">
      <c r="A306" s="448" t="s">
        <v>1229</v>
      </c>
      <c r="B306" s="449" t="s">
        <v>1230</v>
      </c>
      <c r="C306" s="450" t="s">
        <v>1128</v>
      </c>
      <c r="D306" s="450"/>
      <c r="E306" s="450">
        <v>2020</v>
      </c>
      <c r="F306" s="450"/>
      <c r="G306" s="452"/>
      <c r="H306" s="452"/>
      <c r="I306" s="492"/>
      <c r="J306" s="492"/>
      <c r="K306" s="492"/>
      <c r="L306" s="492"/>
      <c r="M306" s="492"/>
      <c r="N306" s="492"/>
      <c r="O306" s="492"/>
      <c r="P306" s="492"/>
      <c r="Q306" s="492"/>
      <c r="R306" s="492"/>
      <c r="S306" s="492"/>
      <c r="T306" s="492"/>
      <c r="U306" s="492"/>
      <c r="V306" s="492"/>
      <c r="W306" s="492"/>
      <c r="X306" s="453">
        <v>1500</v>
      </c>
      <c r="Y306" s="453">
        <v>1500</v>
      </c>
      <c r="Z306" s="453"/>
      <c r="AA306" s="453"/>
      <c r="AB306" s="453"/>
      <c r="AC306" s="452"/>
      <c r="AD306" s="452"/>
      <c r="AE306" s="452"/>
      <c r="AF306" s="452"/>
      <c r="AG306" s="452"/>
      <c r="AH306" s="452"/>
      <c r="AI306" s="452"/>
      <c r="AJ306" s="454"/>
      <c r="AK306" s="454">
        <f t="shared" si="40"/>
        <v>0</v>
      </c>
      <c r="AL306" s="454">
        <f t="shared" si="41"/>
        <v>0</v>
      </c>
      <c r="AM306" s="454">
        <v>1667</v>
      </c>
      <c r="AN306" s="454">
        <v>1500</v>
      </c>
      <c r="AO306" s="454"/>
      <c r="AP306" s="454"/>
      <c r="AQ306" s="452"/>
      <c r="AR306" s="452"/>
      <c r="AS306" s="494">
        <v>1667</v>
      </c>
      <c r="AT306" s="494">
        <v>1500</v>
      </c>
      <c r="AU306" s="495"/>
      <c r="AV306" s="495"/>
      <c r="AW306" s="147"/>
      <c r="AX306" s="119"/>
      <c r="BB306" s="119">
        <v>1</v>
      </c>
      <c r="BC306" s="119">
        <v>6</v>
      </c>
    </row>
    <row r="307" spans="1:55" ht="63" x14ac:dyDescent="0.25">
      <c r="A307" s="448" t="s">
        <v>1231</v>
      </c>
      <c r="B307" s="449" t="s">
        <v>1232</v>
      </c>
      <c r="C307" s="450" t="s">
        <v>1112</v>
      </c>
      <c r="D307" s="450"/>
      <c r="E307" s="450">
        <v>2020</v>
      </c>
      <c r="F307" s="450"/>
      <c r="G307" s="452"/>
      <c r="H307" s="452"/>
      <c r="I307" s="492"/>
      <c r="J307" s="492"/>
      <c r="K307" s="492"/>
      <c r="L307" s="492"/>
      <c r="M307" s="492"/>
      <c r="N307" s="492"/>
      <c r="O307" s="492"/>
      <c r="P307" s="492"/>
      <c r="Q307" s="492"/>
      <c r="R307" s="492"/>
      <c r="S307" s="492"/>
      <c r="T307" s="492"/>
      <c r="U307" s="492"/>
      <c r="V307" s="492"/>
      <c r="W307" s="492"/>
      <c r="X307" s="453">
        <v>870</v>
      </c>
      <c r="Y307" s="453">
        <v>870</v>
      </c>
      <c r="Z307" s="453"/>
      <c r="AA307" s="453"/>
      <c r="AB307" s="453"/>
      <c r="AC307" s="452"/>
      <c r="AD307" s="452"/>
      <c r="AE307" s="452"/>
      <c r="AF307" s="452"/>
      <c r="AG307" s="452"/>
      <c r="AH307" s="452"/>
      <c r="AI307" s="452"/>
      <c r="AJ307" s="454"/>
      <c r="AK307" s="454">
        <f t="shared" si="40"/>
        <v>0</v>
      </c>
      <c r="AL307" s="454">
        <f t="shared" si="41"/>
        <v>0</v>
      </c>
      <c r="AM307" s="454">
        <v>967</v>
      </c>
      <c r="AN307" s="454">
        <v>870</v>
      </c>
      <c r="AO307" s="454"/>
      <c r="AP307" s="454"/>
      <c r="AQ307" s="452"/>
      <c r="AR307" s="452">
        <v>870</v>
      </c>
      <c r="AS307" s="494">
        <v>0</v>
      </c>
      <c r="AT307" s="494">
        <v>0</v>
      </c>
      <c r="AU307" s="495"/>
      <c r="AV307" s="495"/>
      <c r="AW307" s="10"/>
      <c r="AX307" s="119"/>
      <c r="BB307" s="119">
        <v>1</v>
      </c>
      <c r="BC307" s="119">
        <v>3</v>
      </c>
    </row>
    <row r="308" spans="1:55" ht="47.25" x14ac:dyDescent="0.25">
      <c r="A308" s="448" t="s">
        <v>1233</v>
      </c>
      <c r="B308" s="449" t="s">
        <v>1234</v>
      </c>
      <c r="C308" s="450" t="s">
        <v>1105</v>
      </c>
      <c r="D308" s="450"/>
      <c r="E308" s="450">
        <v>2020</v>
      </c>
      <c r="F308" s="450"/>
      <c r="G308" s="452"/>
      <c r="H308" s="452"/>
      <c r="I308" s="492"/>
      <c r="J308" s="492"/>
      <c r="K308" s="492"/>
      <c r="L308" s="492"/>
      <c r="M308" s="492"/>
      <c r="N308" s="492"/>
      <c r="O308" s="492"/>
      <c r="P308" s="492"/>
      <c r="Q308" s="492"/>
      <c r="R308" s="492"/>
      <c r="S308" s="492"/>
      <c r="T308" s="492"/>
      <c r="U308" s="492"/>
      <c r="V308" s="492"/>
      <c r="W308" s="492"/>
      <c r="X308" s="453">
        <v>420</v>
      </c>
      <c r="Y308" s="453">
        <v>420</v>
      </c>
      <c r="Z308" s="453"/>
      <c r="AA308" s="453"/>
      <c r="AB308" s="453"/>
      <c r="AC308" s="452"/>
      <c r="AD308" s="452"/>
      <c r="AE308" s="452"/>
      <c r="AF308" s="452"/>
      <c r="AG308" s="452"/>
      <c r="AH308" s="452"/>
      <c r="AI308" s="452"/>
      <c r="AJ308" s="454"/>
      <c r="AK308" s="454">
        <f t="shared" si="40"/>
        <v>0</v>
      </c>
      <c r="AL308" s="454">
        <f t="shared" si="41"/>
        <v>0</v>
      </c>
      <c r="AM308" s="454">
        <v>467</v>
      </c>
      <c r="AN308" s="454">
        <v>420</v>
      </c>
      <c r="AO308" s="454"/>
      <c r="AP308" s="454"/>
      <c r="AQ308" s="452"/>
      <c r="AR308" s="452"/>
      <c r="AS308" s="494">
        <v>467</v>
      </c>
      <c r="AT308" s="494">
        <v>420</v>
      </c>
      <c r="AU308" s="495"/>
      <c r="AV308" s="495"/>
      <c r="AW308" s="10"/>
      <c r="AX308" s="119"/>
      <c r="BB308" s="119">
        <v>1</v>
      </c>
      <c r="BC308" s="119">
        <v>3</v>
      </c>
    </row>
    <row r="309" spans="1:55" ht="47.25" x14ac:dyDescent="0.25">
      <c r="A309" s="448" t="s">
        <v>1235</v>
      </c>
      <c r="B309" s="449" t="s">
        <v>1236</v>
      </c>
      <c r="C309" s="450" t="s">
        <v>1105</v>
      </c>
      <c r="D309" s="450"/>
      <c r="E309" s="450">
        <v>2020</v>
      </c>
      <c r="F309" s="450"/>
      <c r="G309" s="452"/>
      <c r="H309" s="452"/>
      <c r="I309" s="492"/>
      <c r="J309" s="492"/>
      <c r="K309" s="492"/>
      <c r="L309" s="492"/>
      <c r="M309" s="492"/>
      <c r="N309" s="492"/>
      <c r="O309" s="492"/>
      <c r="P309" s="492"/>
      <c r="Q309" s="492"/>
      <c r="R309" s="492"/>
      <c r="S309" s="492"/>
      <c r="T309" s="492"/>
      <c r="U309" s="492"/>
      <c r="V309" s="492"/>
      <c r="W309" s="492"/>
      <c r="X309" s="453">
        <v>420</v>
      </c>
      <c r="Y309" s="453">
        <v>420</v>
      </c>
      <c r="Z309" s="453"/>
      <c r="AA309" s="453"/>
      <c r="AB309" s="453"/>
      <c r="AC309" s="452"/>
      <c r="AD309" s="452"/>
      <c r="AE309" s="452"/>
      <c r="AF309" s="452"/>
      <c r="AG309" s="452"/>
      <c r="AH309" s="452"/>
      <c r="AI309" s="452"/>
      <c r="AJ309" s="454"/>
      <c r="AK309" s="454">
        <f t="shared" si="40"/>
        <v>0</v>
      </c>
      <c r="AL309" s="454">
        <f t="shared" si="41"/>
        <v>0</v>
      </c>
      <c r="AM309" s="454">
        <v>467</v>
      </c>
      <c r="AN309" s="454">
        <v>420</v>
      </c>
      <c r="AO309" s="454"/>
      <c r="AP309" s="454"/>
      <c r="AQ309" s="452"/>
      <c r="AR309" s="452"/>
      <c r="AS309" s="494">
        <v>467</v>
      </c>
      <c r="AT309" s="494">
        <v>420</v>
      </c>
      <c r="AU309" s="495"/>
      <c r="AV309" s="495"/>
      <c r="AW309" s="10"/>
      <c r="AX309" s="119"/>
      <c r="BB309" s="119">
        <v>1</v>
      </c>
      <c r="BC309" s="119">
        <v>3</v>
      </c>
    </row>
    <row r="310" spans="1:55" ht="31.5" x14ac:dyDescent="0.25">
      <c r="A310" s="448" t="s">
        <v>1237</v>
      </c>
      <c r="B310" s="449" t="s">
        <v>1238</v>
      </c>
      <c r="C310" s="450" t="s">
        <v>1075</v>
      </c>
      <c r="D310" s="450"/>
      <c r="E310" s="450">
        <v>2020</v>
      </c>
      <c r="F310" s="450"/>
      <c r="G310" s="452"/>
      <c r="H310" s="452"/>
      <c r="I310" s="492"/>
      <c r="J310" s="492"/>
      <c r="K310" s="492"/>
      <c r="L310" s="492"/>
      <c r="M310" s="492"/>
      <c r="N310" s="492"/>
      <c r="O310" s="492"/>
      <c r="P310" s="492"/>
      <c r="Q310" s="492"/>
      <c r="R310" s="492"/>
      <c r="S310" s="492"/>
      <c r="T310" s="492"/>
      <c r="U310" s="492"/>
      <c r="V310" s="492"/>
      <c r="W310" s="492"/>
      <c r="X310" s="453">
        <v>1100</v>
      </c>
      <c r="Y310" s="453">
        <v>1100</v>
      </c>
      <c r="Z310" s="453"/>
      <c r="AA310" s="453"/>
      <c r="AB310" s="453"/>
      <c r="AC310" s="452"/>
      <c r="AD310" s="452"/>
      <c r="AE310" s="452"/>
      <c r="AF310" s="452"/>
      <c r="AG310" s="452"/>
      <c r="AH310" s="452"/>
      <c r="AI310" s="452"/>
      <c r="AJ310" s="454"/>
      <c r="AK310" s="454">
        <f t="shared" si="40"/>
        <v>0</v>
      </c>
      <c r="AL310" s="454">
        <f t="shared" si="41"/>
        <v>0</v>
      </c>
      <c r="AM310" s="454">
        <v>1222</v>
      </c>
      <c r="AN310" s="454">
        <v>1100</v>
      </c>
      <c r="AO310" s="454"/>
      <c r="AP310" s="454"/>
      <c r="AQ310" s="452"/>
      <c r="AR310" s="452"/>
      <c r="AS310" s="494">
        <v>1222</v>
      </c>
      <c r="AT310" s="494">
        <v>1100</v>
      </c>
      <c r="AU310" s="495"/>
      <c r="AV310" s="495"/>
      <c r="AW310" s="10"/>
      <c r="AX310" s="119"/>
      <c r="BB310" s="119">
        <v>1</v>
      </c>
      <c r="BC310" s="119">
        <v>3</v>
      </c>
    </row>
    <row r="311" spans="1:55" ht="47.25" x14ac:dyDescent="0.25">
      <c r="A311" s="448" t="s">
        <v>1239</v>
      </c>
      <c r="B311" s="449" t="s">
        <v>1240</v>
      </c>
      <c r="C311" s="450" t="s">
        <v>1080</v>
      </c>
      <c r="D311" s="450"/>
      <c r="E311" s="450">
        <v>2020</v>
      </c>
      <c r="F311" s="450"/>
      <c r="G311" s="452"/>
      <c r="H311" s="452"/>
      <c r="I311" s="492"/>
      <c r="J311" s="492"/>
      <c r="K311" s="492"/>
      <c r="L311" s="492"/>
      <c r="M311" s="492"/>
      <c r="N311" s="492"/>
      <c r="O311" s="492"/>
      <c r="P311" s="492"/>
      <c r="Q311" s="492"/>
      <c r="R311" s="492"/>
      <c r="S311" s="492"/>
      <c r="T311" s="492"/>
      <c r="U311" s="492"/>
      <c r="V311" s="492"/>
      <c r="W311" s="492"/>
      <c r="X311" s="453">
        <v>1200</v>
      </c>
      <c r="Y311" s="453">
        <v>1200</v>
      </c>
      <c r="Z311" s="453"/>
      <c r="AA311" s="453"/>
      <c r="AB311" s="453"/>
      <c r="AC311" s="452"/>
      <c r="AD311" s="452"/>
      <c r="AE311" s="452"/>
      <c r="AF311" s="452"/>
      <c r="AG311" s="452"/>
      <c r="AH311" s="452"/>
      <c r="AI311" s="452"/>
      <c r="AJ311" s="454"/>
      <c r="AK311" s="454">
        <f t="shared" si="40"/>
        <v>0</v>
      </c>
      <c r="AL311" s="454">
        <f t="shared" si="41"/>
        <v>0</v>
      </c>
      <c r="AM311" s="454">
        <v>1333</v>
      </c>
      <c r="AN311" s="454">
        <v>1200</v>
      </c>
      <c r="AO311" s="454"/>
      <c r="AP311" s="454"/>
      <c r="AQ311" s="452"/>
      <c r="AR311" s="452"/>
      <c r="AS311" s="494">
        <v>1333</v>
      </c>
      <c r="AT311" s="494">
        <v>1200</v>
      </c>
      <c r="AU311" s="495"/>
      <c r="AV311" s="495"/>
      <c r="AW311" s="10"/>
      <c r="AX311" s="119"/>
      <c r="BB311" s="119">
        <v>1</v>
      </c>
      <c r="BC311" s="119">
        <v>3</v>
      </c>
    </row>
    <row r="312" spans="1:55" ht="31.5" x14ac:dyDescent="0.25">
      <c r="A312" s="448" t="s">
        <v>1241</v>
      </c>
      <c r="B312" s="449" t="s">
        <v>1242</v>
      </c>
      <c r="C312" s="450" t="s">
        <v>1108</v>
      </c>
      <c r="D312" s="450"/>
      <c r="E312" s="450">
        <v>2020</v>
      </c>
      <c r="F312" s="450"/>
      <c r="G312" s="452"/>
      <c r="H312" s="452"/>
      <c r="I312" s="492"/>
      <c r="J312" s="492"/>
      <c r="K312" s="492"/>
      <c r="L312" s="492"/>
      <c r="M312" s="492"/>
      <c r="N312" s="492"/>
      <c r="O312" s="492"/>
      <c r="P312" s="492"/>
      <c r="Q312" s="492"/>
      <c r="R312" s="492"/>
      <c r="S312" s="492"/>
      <c r="T312" s="492"/>
      <c r="U312" s="492"/>
      <c r="V312" s="492"/>
      <c r="W312" s="492"/>
      <c r="X312" s="453">
        <v>1700</v>
      </c>
      <c r="Y312" s="453">
        <v>1700</v>
      </c>
      <c r="Z312" s="453"/>
      <c r="AA312" s="453"/>
      <c r="AB312" s="453"/>
      <c r="AC312" s="452"/>
      <c r="AD312" s="452"/>
      <c r="AE312" s="452"/>
      <c r="AF312" s="452"/>
      <c r="AG312" s="452"/>
      <c r="AH312" s="452"/>
      <c r="AI312" s="452"/>
      <c r="AJ312" s="454"/>
      <c r="AK312" s="454">
        <f>IF(AN312-Y312&gt;0,AN312-Y312,0)</f>
        <v>0</v>
      </c>
      <c r="AL312" s="454">
        <f>IF(Y312-AN312&gt;0,Y312-AN312,0)</f>
        <v>0</v>
      </c>
      <c r="AM312" s="454">
        <v>1889</v>
      </c>
      <c r="AN312" s="454">
        <v>1700</v>
      </c>
      <c r="AO312" s="454"/>
      <c r="AP312" s="454"/>
      <c r="AQ312" s="452"/>
      <c r="AR312" s="452">
        <v>1700</v>
      </c>
      <c r="AS312" s="494">
        <v>0</v>
      </c>
      <c r="AT312" s="494">
        <v>0</v>
      </c>
      <c r="AU312" s="495"/>
      <c r="AV312" s="495"/>
      <c r="AW312" s="147"/>
      <c r="AX312" s="119"/>
      <c r="BB312" s="119">
        <v>1</v>
      </c>
      <c r="BC312" s="119">
        <v>3</v>
      </c>
    </row>
    <row r="313" spans="1:55" ht="47.25" x14ac:dyDescent="0.25">
      <c r="A313" s="448" t="s">
        <v>1243</v>
      </c>
      <c r="B313" s="449" t="s">
        <v>1244</v>
      </c>
      <c r="C313" s="450" t="s">
        <v>1093</v>
      </c>
      <c r="D313" s="450"/>
      <c r="E313" s="450" t="s">
        <v>1063</v>
      </c>
      <c r="F313" s="450"/>
      <c r="G313" s="452">
        <v>1700</v>
      </c>
      <c r="H313" s="452">
        <v>218.68100000000001</v>
      </c>
      <c r="I313" s="492"/>
      <c r="J313" s="492"/>
      <c r="K313" s="492"/>
      <c r="L313" s="492"/>
      <c r="M313" s="492"/>
      <c r="N313" s="492"/>
      <c r="O313" s="492"/>
      <c r="P313" s="492"/>
      <c r="Q313" s="492"/>
      <c r="R313" s="492"/>
      <c r="S313" s="492"/>
      <c r="T313" s="492"/>
      <c r="U313" s="492"/>
      <c r="V313" s="492"/>
      <c r="W313" s="492"/>
      <c r="X313" s="453">
        <v>218.68100000000001</v>
      </c>
      <c r="Y313" s="453">
        <v>218.68100000000001</v>
      </c>
      <c r="Z313" s="453"/>
      <c r="AA313" s="453"/>
      <c r="AB313" s="453"/>
      <c r="AC313" s="452"/>
      <c r="AD313" s="452">
        <v>1174.319</v>
      </c>
      <c r="AE313" s="452"/>
      <c r="AF313" s="452"/>
      <c r="AG313" s="452"/>
      <c r="AH313" s="452">
        <v>218.68100000000001</v>
      </c>
      <c r="AI313" s="452">
        <v>218.68100000000001</v>
      </c>
      <c r="AJ313" s="454"/>
      <c r="AK313" s="454">
        <f t="shared" ref="AK313:AK339" si="42">IF(AN313-Y313&gt;0,AN313-Y313,0)</f>
        <v>0</v>
      </c>
      <c r="AL313" s="454">
        <f t="shared" ref="AL313:AL339" si="43">IF(Y313-AN313&gt;0,Y313-AN313,0)</f>
        <v>218.68100000000001</v>
      </c>
      <c r="AM313" s="454"/>
      <c r="AN313" s="454">
        <v>0</v>
      </c>
      <c r="AO313" s="454"/>
      <c r="AP313" s="454"/>
      <c r="AQ313" s="452"/>
      <c r="AR313" s="452"/>
      <c r="AS313" s="494"/>
      <c r="AT313" s="494">
        <v>0</v>
      </c>
      <c r="AU313" s="495"/>
      <c r="AV313" s="495"/>
      <c r="AW313" s="538"/>
      <c r="AX313" s="119"/>
      <c r="BB313" s="119">
        <v>1</v>
      </c>
      <c r="BC313" s="119">
        <v>3</v>
      </c>
    </row>
    <row r="314" spans="1:55" ht="47.25" x14ac:dyDescent="0.25">
      <c r="A314" s="448" t="s">
        <v>1245</v>
      </c>
      <c r="B314" s="449" t="s">
        <v>1246</v>
      </c>
      <c r="C314" s="450" t="s">
        <v>1139</v>
      </c>
      <c r="D314" s="450"/>
      <c r="E314" s="450" t="s">
        <v>1063</v>
      </c>
      <c r="F314" s="450"/>
      <c r="G314" s="452">
        <v>790</v>
      </c>
      <c r="H314" s="452">
        <v>253</v>
      </c>
      <c r="I314" s="492"/>
      <c r="J314" s="492"/>
      <c r="K314" s="492"/>
      <c r="L314" s="492"/>
      <c r="M314" s="492"/>
      <c r="N314" s="492"/>
      <c r="O314" s="492"/>
      <c r="P314" s="492"/>
      <c r="Q314" s="492"/>
      <c r="R314" s="492"/>
      <c r="S314" s="492"/>
      <c r="T314" s="492"/>
      <c r="U314" s="492"/>
      <c r="V314" s="492"/>
      <c r="W314" s="492"/>
      <c r="X314" s="453">
        <v>253</v>
      </c>
      <c r="Y314" s="453">
        <v>253</v>
      </c>
      <c r="Z314" s="453"/>
      <c r="AA314" s="453"/>
      <c r="AB314" s="453"/>
      <c r="AC314" s="452"/>
      <c r="AD314" s="452">
        <v>300</v>
      </c>
      <c r="AE314" s="452"/>
      <c r="AF314" s="452"/>
      <c r="AG314" s="452"/>
      <c r="AH314" s="452">
        <v>253</v>
      </c>
      <c r="AI314" s="452">
        <v>253</v>
      </c>
      <c r="AJ314" s="454"/>
      <c r="AK314" s="454">
        <f t="shared" si="42"/>
        <v>0</v>
      </c>
      <c r="AL314" s="454">
        <f t="shared" si="43"/>
        <v>253</v>
      </c>
      <c r="AM314" s="454"/>
      <c r="AN314" s="454">
        <v>0</v>
      </c>
      <c r="AO314" s="454"/>
      <c r="AP314" s="454"/>
      <c r="AQ314" s="452"/>
      <c r="AR314" s="452"/>
      <c r="AS314" s="494"/>
      <c r="AT314" s="494">
        <v>0</v>
      </c>
      <c r="AU314" s="495"/>
      <c r="AV314" s="495"/>
      <c r="AW314" s="538"/>
      <c r="AX314" s="119"/>
      <c r="BB314" s="119">
        <v>1</v>
      </c>
      <c r="BC314" s="119">
        <v>3</v>
      </c>
    </row>
    <row r="315" spans="1:55" ht="63" x14ac:dyDescent="0.25">
      <c r="A315" s="448" t="s">
        <v>1247</v>
      </c>
      <c r="B315" s="449" t="s">
        <v>1248</v>
      </c>
      <c r="C315" s="450" t="s">
        <v>1139</v>
      </c>
      <c r="D315" s="450"/>
      <c r="E315" s="450" t="s">
        <v>1063</v>
      </c>
      <c r="F315" s="450"/>
      <c r="G315" s="452">
        <v>1202</v>
      </c>
      <c r="H315" s="452">
        <v>342</v>
      </c>
      <c r="I315" s="492"/>
      <c r="J315" s="492"/>
      <c r="K315" s="492"/>
      <c r="L315" s="492"/>
      <c r="M315" s="492"/>
      <c r="N315" s="492"/>
      <c r="O315" s="492"/>
      <c r="P315" s="492"/>
      <c r="Q315" s="492"/>
      <c r="R315" s="492"/>
      <c r="S315" s="492"/>
      <c r="T315" s="492"/>
      <c r="U315" s="492"/>
      <c r="V315" s="492"/>
      <c r="W315" s="492"/>
      <c r="X315" s="453">
        <v>342</v>
      </c>
      <c r="Y315" s="453">
        <v>342</v>
      </c>
      <c r="Z315" s="453"/>
      <c r="AA315" s="453"/>
      <c r="AB315" s="453"/>
      <c r="AC315" s="452"/>
      <c r="AD315" s="452">
        <v>500</v>
      </c>
      <c r="AE315" s="452"/>
      <c r="AF315" s="452"/>
      <c r="AG315" s="452"/>
      <c r="AH315" s="452">
        <v>342</v>
      </c>
      <c r="AI315" s="452">
        <v>342</v>
      </c>
      <c r="AJ315" s="454"/>
      <c r="AK315" s="454">
        <f t="shared" si="42"/>
        <v>0</v>
      </c>
      <c r="AL315" s="454">
        <f t="shared" si="43"/>
        <v>342</v>
      </c>
      <c r="AM315" s="454"/>
      <c r="AN315" s="454">
        <v>0</v>
      </c>
      <c r="AO315" s="454"/>
      <c r="AP315" s="454"/>
      <c r="AQ315" s="452"/>
      <c r="AR315" s="452"/>
      <c r="AS315" s="494"/>
      <c r="AT315" s="494">
        <v>0</v>
      </c>
      <c r="AU315" s="495"/>
      <c r="AV315" s="495"/>
      <c r="AW315" s="538"/>
      <c r="AX315" s="119"/>
      <c r="BB315" s="119">
        <v>1</v>
      </c>
      <c r="BC315" s="119">
        <v>3</v>
      </c>
    </row>
    <row r="316" spans="1:55" ht="47.25" x14ac:dyDescent="0.25">
      <c r="A316" s="448" t="s">
        <v>1249</v>
      </c>
      <c r="B316" s="449" t="s">
        <v>1250</v>
      </c>
      <c r="C316" s="450" t="s">
        <v>1101</v>
      </c>
      <c r="D316" s="450"/>
      <c r="E316" s="450" t="s">
        <v>1063</v>
      </c>
      <c r="F316" s="450"/>
      <c r="G316" s="452">
        <v>1800</v>
      </c>
      <c r="H316" s="452">
        <v>149.60949199999999</v>
      </c>
      <c r="I316" s="492"/>
      <c r="J316" s="492"/>
      <c r="K316" s="492"/>
      <c r="L316" s="492"/>
      <c r="M316" s="492"/>
      <c r="N316" s="492"/>
      <c r="O316" s="492"/>
      <c r="P316" s="492"/>
      <c r="Q316" s="492"/>
      <c r="R316" s="492"/>
      <c r="S316" s="492"/>
      <c r="T316" s="492"/>
      <c r="U316" s="492"/>
      <c r="V316" s="492"/>
      <c r="W316" s="492"/>
      <c r="X316" s="453">
        <v>149.60949199999999</v>
      </c>
      <c r="Y316" s="453">
        <v>149.60949199999999</v>
      </c>
      <c r="Z316" s="453"/>
      <c r="AA316" s="453"/>
      <c r="AB316" s="453"/>
      <c r="AC316" s="452"/>
      <c r="AD316" s="452">
        <v>1000</v>
      </c>
      <c r="AE316" s="452"/>
      <c r="AF316" s="452"/>
      <c r="AG316" s="452"/>
      <c r="AH316" s="452">
        <v>149.60949199999999</v>
      </c>
      <c r="AI316" s="452">
        <v>149.60949199999999</v>
      </c>
      <c r="AJ316" s="454"/>
      <c r="AK316" s="454">
        <f t="shared" si="42"/>
        <v>0</v>
      </c>
      <c r="AL316" s="454">
        <f t="shared" si="43"/>
        <v>149.60949199999999</v>
      </c>
      <c r="AM316" s="454"/>
      <c r="AN316" s="454">
        <v>0</v>
      </c>
      <c r="AO316" s="454"/>
      <c r="AP316" s="454"/>
      <c r="AQ316" s="452"/>
      <c r="AR316" s="452"/>
      <c r="AS316" s="494"/>
      <c r="AT316" s="494">
        <v>0</v>
      </c>
      <c r="AU316" s="495"/>
      <c r="AV316" s="495"/>
      <c r="AW316" s="538"/>
      <c r="AX316" s="119"/>
      <c r="BB316" s="119">
        <v>1</v>
      </c>
      <c r="BC316" s="119">
        <v>3</v>
      </c>
    </row>
    <row r="317" spans="1:55" ht="31.5" x14ac:dyDescent="0.25">
      <c r="A317" s="448" t="s">
        <v>1251</v>
      </c>
      <c r="B317" s="449" t="s">
        <v>1252</v>
      </c>
      <c r="C317" s="450" t="s">
        <v>1155</v>
      </c>
      <c r="D317" s="450"/>
      <c r="E317" s="450" t="s">
        <v>1063</v>
      </c>
      <c r="F317" s="450"/>
      <c r="G317" s="452">
        <v>1149</v>
      </c>
      <c r="H317" s="452">
        <v>109</v>
      </c>
      <c r="I317" s="492"/>
      <c r="J317" s="492"/>
      <c r="K317" s="492"/>
      <c r="L317" s="492"/>
      <c r="M317" s="492"/>
      <c r="N317" s="492"/>
      <c r="O317" s="492"/>
      <c r="P317" s="492"/>
      <c r="Q317" s="492"/>
      <c r="R317" s="492"/>
      <c r="S317" s="492"/>
      <c r="T317" s="492"/>
      <c r="U317" s="492"/>
      <c r="V317" s="492"/>
      <c r="W317" s="492"/>
      <c r="X317" s="453">
        <v>109</v>
      </c>
      <c r="Y317" s="453">
        <v>109</v>
      </c>
      <c r="Z317" s="453"/>
      <c r="AA317" s="453"/>
      <c r="AB317" s="453"/>
      <c r="AC317" s="452"/>
      <c r="AD317" s="452">
        <v>940</v>
      </c>
      <c r="AE317" s="452"/>
      <c r="AF317" s="452"/>
      <c r="AG317" s="452"/>
      <c r="AH317" s="452">
        <v>109</v>
      </c>
      <c r="AI317" s="452">
        <v>109</v>
      </c>
      <c r="AJ317" s="454"/>
      <c r="AK317" s="454">
        <f t="shared" si="42"/>
        <v>0</v>
      </c>
      <c r="AL317" s="454">
        <f t="shared" si="43"/>
        <v>109</v>
      </c>
      <c r="AM317" s="454"/>
      <c r="AN317" s="454">
        <v>0</v>
      </c>
      <c r="AO317" s="454"/>
      <c r="AP317" s="454"/>
      <c r="AQ317" s="452"/>
      <c r="AR317" s="452"/>
      <c r="AS317" s="494"/>
      <c r="AT317" s="494">
        <v>0</v>
      </c>
      <c r="AU317" s="495"/>
      <c r="AV317" s="495"/>
      <c r="AW317" s="538"/>
      <c r="AX317" s="119"/>
      <c r="BB317" s="119">
        <v>1</v>
      </c>
      <c r="BC317" s="119">
        <v>3</v>
      </c>
    </row>
    <row r="318" spans="1:55" ht="31.5" x14ac:dyDescent="0.25">
      <c r="A318" s="448" t="s">
        <v>1253</v>
      </c>
      <c r="B318" s="449" t="s">
        <v>1254</v>
      </c>
      <c r="C318" s="450" t="s">
        <v>1124</v>
      </c>
      <c r="D318" s="450"/>
      <c r="E318" s="450">
        <v>2018</v>
      </c>
      <c r="F318" s="450"/>
      <c r="G318" s="452"/>
      <c r="H318" s="452"/>
      <c r="I318" s="492"/>
      <c r="J318" s="492"/>
      <c r="K318" s="492"/>
      <c r="L318" s="492"/>
      <c r="M318" s="492"/>
      <c r="N318" s="492"/>
      <c r="O318" s="492"/>
      <c r="P318" s="492"/>
      <c r="Q318" s="492"/>
      <c r="R318" s="492"/>
      <c r="S318" s="492"/>
      <c r="T318" s="492"/>
      <c r="U318" s="492"/>
      <c r="V318" s="492"/>
      <c r="W318" s="492"/>
      <c r="X318" s="453">
        <v>278</v>
      </c>
      <c r="Y318" s="453">
        <v>250</v>
      </c>
      <c r="Z318" s="453"/>
      <c r="AA318" s="453"/>
      <c r="AB318" s="453"/>
      <c r="AC318" s="452"/>
      <c r="AD318" s="452"/>
      <c r="AE318" s="452"/>
      <c r="AF318" s="452"/>
      <c r="AG318" s="452"/>
      <c r="AH318" s="452"/>
      <c r="AI318" s="452"/>
      <c r="AJ318" s="454"/>
      <c r="AK318" s="454">
        <f t="shared" si="42"/>
        <v>0</v>
      </c>
      <c r="AL318" s="454">
        <f t="shared" si="43"/>
        <v>250</v>
      </c>
      <c r="AM318" s="453">
        <v>0</v>
      </c>
      <c r="AN318" s="453">
        <v>0</v>
      </c>
      <c r="AO318" s="454"/>
      <c r="AP318" s="454"/>
      <c r="AQ318" s="452"/>
      <c r="AR318" s="452"/>
      <c r="AS318" s="497">
        <v>0</v>
      </c>
      <c r="AT318" s="497">
        <v>0</v>
      </c>
      <c r="AU318" s="495"/>
      <c r="AV318" s="495"/>
      <c r="AW318" s="538"/>
      <c r="AX318" s="119"/>
      <c r="BB318" s="119">
        <v>1</v>
      </c>
      <c r="BC318" s="119">
        <v>3</v>
      </c>
    </row>
    <row r="319" spans="1:55" ht="47.25" x14ac:dyDescent="0.25">
      <c r="A319" s="448" t="s">
        <v>1255</v>
      </c>
      <c r="B319" s="449" t="s">
        <v>1256</v>
      </c>
      <c r="C319" s="450" t="s">
        <v>1062</v>
      </c>
      <c r="D319" s="450"/>
      <c r="E319" s="450">
        <v>2019</v>
      </c>
      <c r="F319" s="450"/>
      <c r="G319" s="452"/>
      <c r="H319" s="452"/>
      <c r="I319" s="492"/>
      <c r="J319" s="492"/>
      <c r="K319" s="492"/>
      <c r="L319" s="492"/>
      <c r="M319" s="492"/>
      <c r="N319" s="492"/>
      <c r="O319" s="492"/>
      <c r="P319" s="492"/>
      <c r="Q319" s="492"/>
      <c r="R319" s="492"/>
      <c r="S319" s="492"/>
      <c r="T319" s="492"/>
      <c r="U319" s="492"/>
      <c r="V319" s="492"/>
      <c r="W319" s="492"/>
      <c r="X319" s="453">
        <v>600</v>
      </c>
      <c r="Y319" s="453">
        <v>600</v>
      </c>
      <c r="Z319" s="453"/>
      <c r="AA319" s="453"/>
      <c r="AB319" s="453"/>
      <c r="AC319" s="452"/>
      <c r="AD319" s="452"/>
      <c r="AE319" s="452"/>
      <c r="AF319" s="452"/>
      <c r="AG319" s="452"/>
      <c r="AH319" s="452"/>
      <c r="AI319" s="452"/>
      <c r="AJ319" s="454"/>
      <c r="AK319" s="454">
        <f t="shared" si="42"/>
        <v>0</v>
      </c>
      <c r="AL319" s="454">
        <f t="shared" si="43"/>
        <v>600</v>
      </c>
      <c r="AM319" s="454">
        <v>0</v>
      </c>
      <c r="AN319" s="454">
        <v>0</v>
      </c>
      <c r="AO319" s="454"/>
      <c r="AP319" s="454"/>
      <c r="AQ319" s="452"/>
      <c r="AR319" s="452"/>
      <c r="AS319" s="494">
        <v>0</v>
      </c>
      <c r="AT319" s="494">
        <v>0</v>
      </c>
      <c r="AU319" s="495"/>
      <c r="AV319" s="495"/>
      <c r="AW319" s="538"/>
      <c r="AX319" s="119"/>
      <c r="BB319" s="119">
        <v>1</v>
      </c>
      <c r="BC319" s="119">
        <v>3</v>
      </c>
    </row>
    <row r="320" spans="1:55" ht="31.5" x14ac:dyDescent="0.25">
      <c r="A320" s="448" t="s">
        <v>1257</v>
      </c>
      <c r="B320" s="449" t="s">
        <v>1258</v>
      </c>
      <c r="C320" s="450" t="s">
        <v>1114</v>
      </c>
      <c r="D320" s="450"/>
      <c r="E320" s="450">
        <v>2019</v>
      </c>
      <c r="F320" s="450"/>
      <c r="G320" s="452"/>
      <c r="H320" s="452"/>
      <c r="I320" s="492"/>
      <c r="J320" s="492"/>
      <c r="K320" s="492"/>
      <c r="L320" s="492"/>
      <c r="M320" s="492"/>
      <c r="N320" s="492"/>
      <c r="O320" s="492"/>
      <c r="P320" s="492"/>
      <c r="Q320" s="492"/>
      <c r="R320" s="492"/>
      <c r="S320" s="492"/>
      <c r="T320" s="492"/>
      <c r="U320" s="492"/>
      <c r="V320" s="492"/>
      <c r="W320" s="492"/>
      <c r="X320" s="453">
        <v>1500</v>
      </c>
      <c r="Y320" s="453">
        <v>1500</v>
      </c>
      <c r="Z320" s="453"/>
      <c r="AA320" s="453"/>
      <c r="AB320" s="453"/>
      <c r="AC320" s="452"/>
      <c r="AD320" s="452"/>
      <c r="AE320" s="452"/>
      <c r="AF320" s="452"/>
      <c r="AG320" s="452"/>
      <c r="AH320" s="452"/>
      <c r="AI320" s="452"/>
      <c r="AJ320" s="454"/>
      <c r="AK320" s="454">
        <f t="shared" si="42"/>
        <v>0</v>
      </c>
      <c r="AL320" s="454">
        <f t="shared" si="43"/>
        <v>1500</v>
      </c>
      <c r="AM320" s="454">
        <v>0</v>
      </c>
      <c r="AN320" s="454">
        <v>0</v>
      </c>
      <c r="AO320" s="454"/>
      <c r="AP320" s="454"/>
      <c r="AQ320" s="452"/>
      <c r="AR320" s="452"/>
      <c r="AS320" s="494">
        <v>0</v>
      </c>
      <c r="AT320" s="494">
        <v>0</v>
      </c>
      <c r="AU320" s="495"/>
      <c r="AV320" s="495"/>
      <c r="AW320" s="538"/>
      <c r="AX320" s="119"/>
      <c r="BB320" s="119">
        <v>1</v>
      </c>
      <c r="BC320" s="119">
        <v>3</v>
      </c>
    </row>
    <row r="321" spans="1:55" ht="31.5" x14ac:dyDescent="0.25">
      <c r="A321" s="448" t="s">
        <v>1259</v>
      </c>
      <c r="B321" s="449" t="s">
        <v>1260</v>
      </c>
      <c r="C321" s="450" t="s">
        <v>1139</v>
      </c>
      <c r="D321" s="450"/>
      <c r="E321" s="450">
        <v>2019</v>
      </c>
      <c r="F321" s="450"/>
      <c r="G321" s="452"/>
      <c r="H321" s="452"/>
      <c r="I321" s="492"/>
      <c r="J321" s="492"/>
      <c r="K321" s="492"/>
      <c r="L321" s="492"/>
      <c r="M321" s="492"/>
      <c r="N321" s="492"/>
      <c r="O321" s="492"/>
      <c r="P321" s="492"/>
      <c r="Q321" s="492"/>
      <c r="R321" s="492"/>
      <c r="S321" s="492"/>
      <c r="T321" s="492"/>
      <c r="U321" s="492"/>
      <c r="V321" s="492"/>
      <c r="W321" s="492"/>
      <c r="X321" s="453">
        <v>405</v>
      </c>
      <c r="Y321" s="453">
        <v>405</v>
      </c>
      <c r="Z321" s="453"/>
      <c r="AA321" s="453"/>
      <c r="AB321" s="453"/>
      <c r="AC321" s="452"/>
      <c r="AD321" s="452"/>
      <c r="AE321" s="452"/>
      <c r="AF321" s="452"/>
      <c r="AG321" s="452"/>
      <c r="AH321" s="452"/>
      <c r="AI321" s="452"/>
      <c r="AJ321" s="454"/>
      <c r="AK321" s="454">
        <f t="shared" si="42"/>
        <v>0</v>
      </c>
      <c r="AL321" s="454">
        <f t="shared" si="43"/>
        <v>405</v>
      </c>
      <c r="AM321" s="454">
        <v>0</v>
      </c>
      <c r="AN321" s="454">
        <v>0</v>
      </c>
      <c r="AO321" s="454"/>
      <c r="AP321" s="454"/>
      <c r="AQ321" s="452"/>
      <c r="AR321" s="452"/>
      <c r="AS321" s="494">
        <v>0</v>
      </c>
      <c r="AT321" s="494">
        <v>0</v>
      </c>
      <c r="AU321" s="495"/>
      <c r="AV321" s="495"/>
      <c r="AW321" s="538"/>
      <c r="AX321" s="119"/>
      <c r="BB321" s="119">
        <v>1</v>
      </c>
      <c r="BC321" s="119">
        <v>3</v>
      </c>
    </row>
    <row r="322" spans="1:55" ht="47.25" x14ac:dyDescent="0.25">
      <c r="A322" s="448" t="s">
        <v>1261</v>
      </c>
      <c r="B322" s="449" t="s">
        <v>1262</v>
      </c>
      <c r="C322" s="450" t="s">
        <v>1164</v>
      </c>
      <c r="D322" s="450"/>
      <c r="E322" s="450">
        <v>2019</v>
      </c>
      <c r="F322" s="450"/>
      <c r="G322" s="452"/>
      <c r="H322" s="452"/>
      <c r="I322" s="492"/>
      <c r="J322" s="492"/>
      <c r="K322" s="492"/>
      <c r="L322" s="492"/>
      <c r="M322" s="492"/>
      <c r="N322" s="492"/>
      <c r="O322" s="492"/>
      <c r="P322" s="492"/>
      <c r="Q322" s="492"/>
      <c r="R322" s="492"/>
      <c r="S322" s="492"/>
      <c r="T322" s="492"/>
      <c r="U322" s="492"/>
      <c r="V322" s="492"/>
      <c r="W322" s="492"/>
      <c r="X322" s="453">
        <v>1200</v>
      </c>
      <c r="Y322" s="453">
        <v>1200</v>
      </c>
      <c r="Z322" s="453"/>
      <c r="AA322" s="453"/>
      <c r="AB322" s="453"/>
      <c r="AC322" s="452"/>
      <c r="AD322" s="452"/>
      <c r="AE322" s="452"/>
      <c r="AF322" s="452"/>
      <c r="AG322" s="452"/>
      <c r="AH322" s="452"/>
      <c r="AI322" s="452"/>
      <c r="AJ322" s="454"/>
      <c r="AK322" s="454">
        <f t="shared" si="42"/>
        <v>0</v>
      </c>
      <c r="AL322" s="454">
        <f t="shared" si="43"/>
        <v>1200</v>
      </c>
      <c r="AM322" s="454">
        <v>0</v>
      </c>
      <c r="AN322" s="454">
        <v>0</v>
      </c>
      <c r="AO322" s="454"/>
      <c r="AP322" s="454"/>
      <c r="AQ322" s="452"/>
      <c r="AR322" s="452"/>
      <c r="AS322" s="494">
        <v>0</v>
      </c>
      <c r="AT322" s="494">
        <v>0</v>
      </c>
      <c r="AU322" s="495"/>
      <c r="AV322" s="495"/>
      <c r="AW322" s="538"/>
      <c r="AX322" s="119"/>
      <c r="BB322" s="119">
        <v>1</v>
      </c>
      <c r="BC322" s="119">
        <v>3</v>
      </c>
    </row>
    <row r="323" spans="1:55" ht="31.5" x14ac:dyDescent="0.25">
      <c r="A323" s="448" t="s">
        <v>1263</v>
      </c>
      <c r="B323" s="449" t="s">
        <v>1264</v>
      </c>
      <c r="C323" s="450" t="s">
        <v>1101</v>
      </c>
      <c r="D323" s="450"/>
      <c r="E323" s="450">
        <v>2019</v>
      </c>
      <c r="F323" s="450"/>
      <c r="G323" s="452"/>
      <c r="H323" s="452"/>
      <c r="I323" s="492"/>
      <c r="J323" s="492"/>
      <c r="K323" s="492"/>
      <c r="L323" s="492"/>
      <c r="M323" s="492"/>
      <c r="N323" s="492"/>
      <c r="O323" s="492"/>
      <c r="P323" s="492"/>
      <c r="Q323" s="492"/>
      <c r="R323" s="492"/>
      <c r="S323" s="492"/>
      <c r="T323" s="492"/>
      <c r="U323" s="492"/>
      <c r="V323" s="492"/>
      <c r="W323" s="492"/>
      <c r="X323" s="453">
        <v>2500</v>
      </c>
      <c r="Y323" s="453">
        <v>2500</v>
      </c>
      <c r="Z323" s="453"/>
      <c r="AA323" s="453"/>
      <c r="AB323" s="453"/>
      <c r="AC323" s="452"/>
      <c r="AD323" s="452"/>
      <c r="AE323" s="452"/>
      <c r="AF323" s="452"/>
      <c r="AG323" s="452"/>
      <c r="AH323" s="452"/>
      <c r="AI323" s="452"/>
      <c r="AJ323" s="454"/>
      <c r="AK323" s="454">
        <f t="shared" si="42"/>
        <v>0</v>
      </c>
      <c r="AL323" s="454">
        <f t="shared" si="43"/>
        <v>2500</v>
      </c>
      <c r="AM323" s="454">
        <v>0</v>
      </c>
      <c r="AN323" s="454">
        <v>0</v>
      </c>
      <c r="AO323" s="454"/>
      <c r="AP323" s="454"/>
      <c r="AQ323" s="452"/>
      <c r="AR323" s="452"/>
      <c r="AS323" s="494">
        <v>0</v>
      </c>
      <c r="AT323" s="494">
        <v>0</v>
      </c>
      <c r="AU323" s="495"/>
      <c r="AV323" s="495"/>
      <c r="AW323" s="538"/>
      <c r="AX323" s="119"/>
      <c r="BB323" s="119">
        <v>1</v>
      </c>
      <c r="BC323" s="119">
        <v>3</v>
      </c>
    </row>
    <row r="324" spans="1:55" ht="47.25" x14ac:dyDescent="0.25">
      <c r="A324" s="448" t="s">
        <v>1265</v>
      </c>
      <c r="B324" s="449" t="s">
        <v>1266</v>
      </c>
      <c r="C324" s="450" t="s">
        <v>1069</v>
      </c>
      <c r="D324" s="450"/>
      <c r="E324" s="450">
        <v>2019</v>
      </c>
      <c r="F324" s="450"/>
      <c r="G324" s="452"/>
      <c r="H324" s="452"/>
      <c r="I324" s="492"/>
      <c r="J324" s="492"/>
      <c r="K324" s="492"/>
      <c r="L324" s="492"/>
      <c r="M324" s="492"/>
      <c r="N324" s="492"/>
      <c r="O324" s="492"/>
      <c r="P324" s="492"/>
      <c r="Q324" s="492"/>
      <c r="R324" s="492"/>
      <c r="S324" s="492"/>
      <c r="T324" s="492"/>
      <c r="U324" s="492"/>
      <c r="V324" s="492"/>
      <c r="W324" s="492"/>
      <c r="X324" s="453">
        <v>870</v>
      </c>
      <c r="Y324" s="453">
        <v>870</v>
      </c>
      <c r="Z324" s="453"/>
      <c r="AA324" s="453"/>
      <c r="AB324" s="453"/>
      <c r="AC324" s="452"/>
      <c r="AD324" s="452"/>
      <c r="AE324" s="452"/>
      <c r="AF324" s="452"/>
      <c r="AG324" s="452"/>
      <c r="AH324" s="452"/>
      <c r="AI324" s="452"/>
      <c r="AJ324" s="454"/>
      <c r="AK324" s="454">
        <f t="shared" si="42"/>
        <v>0</v>
      </c>
      <c r="AL324" s="454">
        <f t="shared" si="43"/>
        <v>870</v>
      </c>
      <c r="AM324" s="454">
        <v>0</v>
      </c>
      <c r="AN324" s="454">
        <v>0</v>
      </c>
      <c r="AO324" s="454"/>
      <c r="AP324" s="454"/>
      <c r="AQ324" s="452"/>
      <c r="AR324" s="452"/>
      <c r="AS324" s="494">
        <v>0</v>
      </c>
      <c r="AT324" s="494">
        <v>0</v>
      </c>
      <c r="AU324" s="495"/>
      <c r="AV324" s="495"/>
      <c r="AW324" s="538"/>
      <c r="AX324" s="119"/>
      <c r="BB324" s="119">
        <v>1</v>
      </c>
      <c r="BC324" s="119">
        <v>3</v>
      </c>
    </row>
    <row r="325" spans="1:55" ht="47.25" x14ac:dyDescent="0.25">
      <c r="A325" s="448" t="s">
        <v>1267</v>
      </c>
      <c r="B325" s="449" t="s">
        <v>1268</v>
      </c>
      <c r="C325" s="450" t="s">
        <v>1066</v>
      </c>
      <c r="D325" s="450"/>
      <c r="E325" s="450">
        <v>2019</v>
      </c>
      <c r="F325" s="450"/>
      <c r="G325" s="452"/>
      <c r="H325" s="452"/>
      <c r="I325" s="492"/>
      <c r="J325" s="492"/>
      <c r="K325" s="492"/>
      <c r="L325" s="492"/>
      <c r="M325" s="492"/>
      <c r="N325" s="492"/>
      <c r="O325" s="492"/>
      <c r="P325" s="492"/>
      <c r="Q325" s="492"/>
      <c r="R325" s="492"/>
      <c r="S325" s="492"/>
      <c r="T325" s="492"/>
      <c r="U325" s="492"/>
      <c r="V325" s="492"/>
      <c r="W325" s="492"/>
      <c r="X325" s="453">
        <v>670</v>
      </c>
      <c r="Y325" s="453">
        <v>670</v>
      </c>
      <c r="Z325" s="453"/>
      <c r="AA325" s="453"/>
      <c r="AB325" s="453"/>
      <c r="AC325" s="452"/>
      <c r="AD325" s="452"/>
      <c r="AE325" s="452"/>
      <c r="AF325" s="452"/>
      <c r="AG325" s="452"/>
      <c r="AH325" s="452"/>
      <c r="AI325" s="452"/>
      <c r="AJ325" s="454"/>
      <c r="AK325" s="454">
        <f t="shared" si="42"/>
        <v>0</v>
      </c>
      <c r="AL325" s="454">
        <f t="shared" si="43"/>
        <v>670</v>
      </c>
      <c r="AM325" s="454">
        <v>0</v>
      </c>
      <c r="AN325" s="454">
        <v>0</v>
      </c>
      <c r="AO325" s="454"/>
      <c r="AP325" s="454"/>
      <c r="AQ325" s="452"/>
      <c r="AR325" s="452"/>
      <c r="AS325" s="494">
        <v>0</v>
      </c>
      <c r="AT325" s="494">
        <v>0</v>
      </c>
      <c r="AU325" s="495"/>
      <c r="AV325" s="495"/>
      <c r="AW325" s="538"/>
      <c r="AX325" s="119"/>
      <c r="BB325" s="119">
        <v>1</v>
      </c>
      <c r="BC325" s="119">
        <v>3</v>
      </c>
    </row>
    <row r="326" spans="1:55" ht="47.25" x14ac:dyDescent="0.25">
      <c r="A326" s="448" t="s">
        <v>1269</v>
      </c>
      <c r="B326" s="449" t="s">
        <v>1270</v>
      </c>
      <c r="C326" s="450" t="s">
        <v>1066</v>
      </c>
      <c r="D326" s="450"/>
      <c r="E326" s="450">
        <v>2019</v>
      </c>
      <c r="F326" s="450"/>
      <c r="G326" s="452"/>
      <c r="H326" s="452"/>
      <c r="I326" s="492"/>
      <c r="J326" s="492"/>
      <c r="K326" s="492"/>
      <c r="L326" s="492"/>
      <c r="M326" s="492"/>
      <c r="N326" s="492"/>
      <c r="O326" s="492"/>
      <c r="P326" s="492"/>
      <c r="Q326" s="492"/>
      <c r="R326" s="492"/>
      <c r="S326" s="492"/>
      <c r="T326" s="492"/>
      <c r="U326" s="492"/>
      <c r="V326" s="492"/>
      <c r="W326" s="492"/>
      <c r="X326" s="453">
        <v>200</v>
      </c>
      <c r="Y326" s="453">
        <v>200</v>
      </c>
      <c r="Z326" s="453"/>
      <c r="AA326" s="453"/>
      <c r="AB326" s="453"/>
      <c r="AC326" s="452"/>
      <c r="AD326" s="452"/>
      <c r="AE326" s="452"/>
      <c r="AF326" s="452"/>
      <c r="AG326" s="452"/>
      <c r="AH326" s="452"/>
      <c r="AI326" s="452"/>
      <c r="AJ326" s="454"/>
      <c r="AK326" s="454">
        <f t="shared" si="42"/>
        <v>0</v>
      </c>
      <c r="AL326" s="454">
        <f t="shared" si="43"/>
        <v>200</v>
      </c>
      <c r="AM326" s="454">
        <v>0</v>
      </c>
      <c r="AN326" s="454">
        <v>0</v>
      </c>
      <c r="AO326" s="454"/>
      <c r="AP326" s="454"/>
      <c r="AQ326" s="452"/>
      <c r="AR326" s="452"/>
      <c r="AS326" s="494">
        <v>0</v>
      </c>
      <c r="AT326" s="494">
        <v>0</v>
      </c>
      <c r="AU326" s="495"/>
      <c r="AV326" s="495"/>
      <c r="AW326" s="538"/>
      <c r="AX326" s="119"/>
      <c r="BB326" s="119">
        <v>1</v>
      </c>
      <c r="BC326" s="119">
        <v>3</v>
      </c>
    </row>
    <row r="327" spans="1:55" ht="47.25" x14ac:dyDescent="0.25">
      <c r="A327" s="448" t="s">
        <v>1271</v>
      </c>
      <c r="B327" s="449" t="s">
        <v>1272</v>
      </c>
      <c r="C327" s="450" t="s">
        <v>1273</v>
      </c>
      <c r="D327" s="450"/>
      <c r="E327" s="450">
        <v>2020</v>
      </c>
      <c r="F327" s="450"/>
      <c r="G327" s="452"/>
      <c r="H327" s="452"/>
      <c r="I327" s="492"/>
      <c r="J327" s="492"/>
      <c r="K327" s="492"/>
      <c r="L327" s="492"/>
      <c r="M327" s="492"/>
      <c r="N327" s="492"/>
      <c r="O327" s="492"/>
      <c r="P327" s="492"/>
      <c r="Q327" s="492"/>
      <c r="R327" s="492"/>
      <c r="S327" s="492"/>
      <c r="T327" s="492"/>
      <c r="U327" s="492"/>
      <c r="V327" s="492"/>
      <c r="W327" s="492"/>
      <c r="X327" s="453">
        <v>870</v>
      </c>
      <c r="Y327" s="453">
        <v>870</v>
      </c>
      <c r="Z327" s="453"/>
      <c r="AA327" s="453"/>
      <c r="AB327" s="453"/>
      <c r="AC327" s="452"/>
      <c r="AD327" s="452"/>
      <c r="AE327" s="452"/>
      <c r="AF327" s="452"/>
      <c r="AG327" s="452"/>
      <c r="AH327" s="452"/>
      <c r="AI327" s="452"/>
      <c r="AJ327" s="454"/>
      <c r="AK327" s="454">
        <f t="shared" si="42"/>
        <v>0</v>
      </c>
      <c r="AL327" s="454">
        <f t="shared" si="43"/>
        <v>870</v>
      </c>
      <c r="AM327" s="454">
        <v>0</v>
      </c>
      <c r="AN327" s="454">
        <v>0</v>
      </c>
      <c r="AO327" s="454"/>
      <c r="AP327" s="454"/>
      <c r="AQ327" s="452"/>
      <c r="AR327" s="452"/>
      <c r="AS327" s="494">
        <v>0</v>
      </c>
      <c r="AT327" s="494">
        <v>0</v>
      </c>
      <c r="AU327" s="495"/>
      <c r="AV327" s="495"/>
      <c r="AW327" s="538"/>
      <c r="AX327" s="119"/>
      <c r="BB327" s="119">
        <v>1</v>
      </c>
      <c r="BC327" s="119">
        <v>3</v>
      </c>
    </row>
    <row r="328" spans="1:55" ht="47.25" x14ac:dyDescent="0.25">
      <c r="A328" s="448" t="s">
        <v>1274</v>
      </c>
      <c r="B328" s="449" t="s">
        <v>1275</v>
      </c>
      <c r="C328" s="450" t="s">
        <v>1151</v>
      </c>
      <c r="D328" s="450"/>
      <c r="E328" s="450">
        <v>2020</v>
      </c>
      <c r="F328" s="450"/>
      <c r="G328" s="452"/>
      <c r="H328" s="452"/>
      <c r="I328" s="492"/>
      <c r="J328" s="492"/>
      <c r="K328" s="492"/>
      <c r="L328" s="492"/>
      <c r="M328" s="492"/>
      <c r="N328" s="492"/>
      <c r="O328" s="492"/>
      <c r="P328" s="492"/>
      <c r="Q328" s="492"/>
      <c r="R328" s="492"/>
      <c r="S328" s="492"/>
      <c r="T328" s="492"/>
      <c r="U328" s="492"/>
      <c r="V328" s="492"/>
      <c r="W328" s="492"/>
      <c r="X328" s="453">
        <v>600</v>
      </c>
      <c r="Y328" s="453">
        <v>600</v>
      </c>
      <c r="Z328" s="453"/>
      <c r="AA328" s="453"/>
      <c r="AB328" s="453"/>
      <c r="AC328" s="452"/>
      <c r="AD328" s="452"/>
      <c r="AE328" s="452"/>
      <c r="AF328" s="452"/>
      <c r="AG328" s="452"/>
      <c r="AH328" s="452"/>
      <c r="AI328" s="452"/>
      <c r="AJ328" s="454"/>
      <c r="AK328" s="454">
        <f t="shared" si="42"/>
        <v>0</v>
      </c>
      <c r="AL328" s="454">
        <f t="shared" si="43"/>
        <v>600</v>
      </c>
      <c r="AM328" s="454">
        <v>0</v>
      </c>
      <c r="AN328" s="454">
        <v>0</v>
      </c>
      <c r="AO328" s="454"/>
      <c r="AP328" s="454"/>
      <c r="AQ328" s="452"/>
      <c r="AR328" s="452"/>
      <c r="AS328" s="494">
        <v>0</v>
      </c>
      <c r="AT328" s="494">
        <v>0</v>
      </c>
      <c r="AU328" s="495"/>
      <c r="AV328" s="495"/>
      <c r="AW328" s="538"/>
      <c r="AX328" s="119"/>
      <c r="BB328" s="119">
        <v>1</v>
      </c>
      <c r="BC328" s="119">
        <v>3</v>
      </c>
    </row>
    <row r="329" spans="1:55" ht="47.25" x14ac:dyDescent="0.25">
      <c r="A329" s="448" t="s">
        <v>1276</v>
      </c>
      <c r="B329" s="449" t="s">
        <v>1277</v>
      </c>
      <c r="C329" s="450" t="s">
        <v>1151</v>
      </c>
      <c r="D329" s="450"/>
      <c r="E329" s="450">
        <v>2020</v>
      </c>
      <c r="F329" s="450"/>
      <c r="G329" s="452"/>
      <c r="H329" s="452"/>
      <c r="I329" s="492"/>
      <c r="J329" s="492"/>
      <c r="K329" s="492"/>
      <c r="L329" s="492"/>
      <c r="M329" s="492"/>
      <c r="N329" s="492"/>
      <c r="O329" s="492"/>
      <c r="P329" s="492"/>
      <c r="Q329" s="492"/>
      <c r="R329" s="492"/>
      <c r="S329" s="492"/>
      <c r="T329" s="492"/>
      <c r="U329" s="492"/>
      <c r="V329" s="492"/>
      <c r="W329" s="492"/>
      <c r="X329" s="453">
        <v>870</v>
      </c>
      <c r="Y329" s="453">
        <v>870</v>
      </c>
      <c r="Z329" s="453"/>
      <c r="AA329" s="453"/>
      <c r="AB329" s="453"/>
      <c r="AC329" s="452"/>
      <c r="AD329" s="452"/>
      <c r="AE329" s="452"/>
      <c r="AF329" s="452"/>
      <c r="AG329" s="452"/>
      <c r="AH329" s="452"/>
      <c r="AI329" s="452"/>
      <c r="AJ329" s="454"/>
      <c r="AK329" s="454">
        <f t="shared" si="42"/>
        <v>0</v>
      </c>
      <c r="AL329" s="454">
        <f t="shared" si="43"/>
        <v>870</v>
      </c>
      <c r="AM329" s="454">
        <v>0</v>
      </c>
      <c r="AN329" s="454">
        <v>0</v>
      </c>
      <c r="AO329" s="454"/>
      <c r="AP329" s="454"/>
      <c r="AQ329" s="452"/>
      <c r="AR329" s="452"/>
      <c r="AS329" s="494">
        <v>0</v>
      </c>
      <c r="AT329" s="494">
        <v>0</v>
      </c>
      <c r="AU329" s="495"/>
      <c r="AV329" s="495"/>
      <c r="AW329" s="538"/>
      <c r="AX329" s="119"/>
      <c r="BB329" s="119">
        <v>1</v>
      </c>
      <c r="BC329" s="119">
        <v>3</v>
      </c>
    </row>
    <row r="330" spans="1:55" ht="31.5" x14ac:dyDescent="0.25">
      <c r="A330" s="448" t="s">
        <v>1278</v>
      </c>
      <c r="B330" s="449" t="s">
        <v>1279</v>
      </c>
      <c r="C330" s="450" t="s">
        <v>1280</v>
      </c>
      <c r="D330" s="450"/>
      <c r="E330" s="450">
        <v>2020</v>
      </c>
      <c r="F330" s="450"/>
      <c r="G330" s="452"/>
      <c r="H330" s="452"/>
      <c r="I330" s="492"/>
      <c r="J330" s="492"/>
      <c r="K330" s="492"/>
      <c r="L330" s="492"/>
      <c r="M330" s="492"/>
      <c r="N330" s="492"/>
      <c r="O330" s="492"/>
      <c r="P330" s="492"/>
      <c r="Q330" s="492"/>
      <c r="R330" s="492"/>
      <c r="S330" s="492"/>
      <c r="T330" s="492"/>
      <c r="U330" s="492"/>
      <c r="V330" s="492"/>
      <c r="W330" s="492"/>
      <c r="X330" s="453">
        <v>1200</v>
      </c>
      <c r="Y330" s="453">
        <v>1200</v>
      </c>
      <c r="Z330" s="453"/>
      <c r="AA330" s="453"/>
      <c r="AB330" s="453"/>
      <c r="AC330" s="452"/>
      <c r="AD330" s="452"/>
      <c r="AE330" s="452"/>
      <c r="AF330" s="452"/>
      <c r="AG330" s="452"/>
      <c r="AH330" s="452"/>
      <c r="AI330" s="452"/>
      <c r="AJ330" s="454"/>
      <c r="AK330" s="454">
        <f t="shared" si="42"/>
        <v>0</v>
      </c>
      <c r="AL330" s="454">
        <f t="shared" si="43"/>
        <v>1200</v>
      </c>
      <c r="AM330" s="454">
        <v>0</v>
      </c>
      <c r="AN330" s="454">
        <v>0</v>
      </c>
      <c r="AO330" s="454"/>
      <c r="AP330" s="454"/>
      <c r="AQ330" s="452"/>
      <c r="AR330" s="452"/>
      <c r="AS330" s="494">
        <v>0</v>
      </c>
      <c r="AT330" s="494">
        <v>0</v>
      </c>
      <c r="AU330" s="495"/>
      <c r="AV330" s="495"/>
      <c r="AW330" s="538"/>
      <c r="AX330" s="119"/>
      <c r="BB330" s="119">
        <v>1</v>
      </c>
      <c r="BC330" s="119">
        <v>3</v>
      </c>
    </row>
    <row r="331" spans="1:55" ht="47.25" x14ac:dyDescent="0.25">
      <c r="A331" s="448" t="s">
        <v>1281</v>
      </c>
      <c r="B331" s="449" t="s">
        <v>1282</v>
      </c>
      <c r="C331" s="450" t="s">
        <v>1273</v>
      </c>
      <c r="D331" s="450"/>
      <c r="E331" s="450">
        <v>2020</v>
      </c>
      <c r="F331" s="450"/>
      <c r="G331" s="452"/>
      <c r="H331" s="452"/>
      <c r="I331" s="492"/>
      <c r="J331" s="492"/>
      <c r="K331" s="492"/>
      <c r="L331" s="492"/>
      <c r="M331" s="492"/>
      <c r="N331" s="492"/>
      <c r="O331" s="492"/>
      <c r="P331" s="492"/>
      <c r="Q331" s="492"/>
      <c r="R331" s="492"/>
      <c r="S331" s="492"/>
      <c r="T331" s="492"/>
      <c r="U331" s="492"/>
      <c r="V331" s="492"/>
      <c r="W331" s="492"/>
      <c r="X331" s="453">
        <v>1740</v>
      </c>
      <c r="Y331" s="453">
        <v>1740</v>
      </c>
      <c r="Z331" s="453"/>
      <c r="AA331" s="453"/>
      <c r="AB331" s="453"/>
      <c r="AC331" s="452"/>
      <c r="AD331" s="452"/>
      <c r="AE331" s="452"/>
      <c r="AF331" s="452"/>
      <c r="AG331" s="452"/>
      <c r="AH331" s="452"/>
      <c r="AI331" s="452"/>
      <c r="AJ331" s="454"/>
      <c r="AK331" s="454">
        <f t="shared" si="42"/>
        <v>0</v>
      </c>
      <c r="AL331" s="454">
        <f t="shared" si="43"/>
        <v>1740</v>
      </c>
      <c r="AM331" s="454">
        <v>0</v>
      </c>
      <c r="AN331" s="454">
        <v>0</v>
      </c>
      <c r="AO331" s="454"/>
      <c r="AP331" s="454"/>
      <c r="AQ331" s="452"/>
      <c r="AR331" s="452"/>
      <c r="AS331" s="494">
        <v>0</v>
      </c>
      <c r="AT331" s="494">
        <v>0</v>
      </c>
      <c r="AU331" s="495"/>
      <c r="AV331" s="495"/>
      <c r="AW331" s="538"/>
      <c r="AX331" s="119"/>
      <c r="BB331" s="119">
        <v>1</v>
      </c>
      <c r="BC331" s="119">
        <v>3</v>
      </c>
    </row>
    <row r="332" spans="1:55" ht="47.25" x14ac:dyDescent="0.25">
      <c r="A332" s="448" t="s">
        <v>1283</v>
      </c>
      <c r="B332" s="449" t="s">
        <v>1284</v>
      </c>
      <c r="C332" s="450" t="s">
        <v>1273</v>
      </c>
      <c r="D332" s="450"/>
      <c r="E332" s="450">
        <v>2020</v>
      </c>
      <c r="F332" s="450"/>
      <c r="G332" s="452"/>
      <c r="H332" s="452"/>
      <c r="I332" s="492"/>
      <c r="J332" s="492"/>
      <c r="K332" s="492"/>
      <c r="L332" s="492"/>
      <c r="M332" s="492"/>
      <c r="N332" s="492"/>
      <c r="O332" s="492"/>
      <c r="P332" s="492"/>
      <c r="Q332" s="492"/>
      <c r="R332" s="492"/>
      <c r="S332" s="492"/>
      <c r="T332" s="492"/>
      <c r="U332" s="492"/>
      <c r="V332" s="492"/>
      <c r="W332" s="492"/>
      <c r="X332" s="453">
        <v>600</v>
      </c>
      <c r="Y332" s="453">
        <v>600</v>
      </c>
      <c r="Z332" s="453"/>
      <c r="AA332" s="453"/>
      <c r="AB332" s="453"/>
      <c r="AC332" s="452"/>
      <c r="AD332" s="452"/>
      <c r="AE332" s="452"/>
      <c r="AF332" s="452"/>
      <c r="AG332" s="452"/>
      <c r="AH332" s="452"/>
      <c r="AI332" s="452"/>
      <c r="AJ332" s="454"/>
      <c r="AK332" s="454">
        <f t="shared" si="42"/>
        <v>0</v>
      </c>
      <c r="AL332" s="454">
        <f t="shared" si="43"/>
        <v>600</v>
      </c>
      <c r="AM332" s="454">
        <v>0</v>
      </c>
      <c r="AN332" s="454">
        <v>0</v>
      </c>
      <c r="AO332" s="454"/>
      <c r="AP332" s="454"/>
      <c r="AQ332" s="452"/>
      <c r="AR332" s="452"/>
      <c r="AS332" s="494">
        <v>0</v>
      </c>
      <c r="AT332" s="494">
        <v>0</v>
      </c>
      <c r="AU332" s="495"/>
      <c r="AV332" s="495"/>
      <c r="AW332" s="538"/>
      <c r="AX332" s="119"/>
      <c r="BB332" s="119">
        <v>1</v>
      </c>
      <c r="BC332" s="119">
        <v>3</v>
      </c>
    </row>
    <row r="333" spans="1:55" ht="31.5" x14ac:dyDescent="0.25">
      <c r="A333" s="448" t="s">
        <v>1285</v>
      </c>
      <c r="B333" s="449" t="s">
        <v>1286</v>
      </c>
      <c r="C333" s="450" t="s">
        <v>1124</v>
      </c>
      <c r="D333" s="450"/>
      <c r="E333" s="450">
        <v>2020</v>
      </c>
      <c r="F333" s="450"/>
      <c r="G333" s="452"/>
      <c r="H333" s="452"/>
      <c r="I333" s="492"/>
      <c r="J333" s="492"/>
      <c r="K333" s="492"/>
      <c r="L333" s="492"/>
      <c r="M333" s="492"/>
      <c r="N333" s="492"/>
      <c r="O333" s="492"/>
      <c r="P333" s="492"/>
      <c r="Q333" s="492"/>
      <c r="R333" s="492"/>
      <c r="S333" s="492"/>
      <c r="T333" s="492"/>
      <c r="U333" s="492"/>
      <c r="V333" s="492"/>
      <c r="W333" s="492"/>
      <c r="X333" s="453">
        <v>600</v>
      </c>
      <c r="Y333" s="453">
        <v>600</v>
      </c>
      <c r="Z333" s="453"/>
      <c r="AA333" s="453"/>
      <c r="AB333" s="453"/>
      <c r="AC333" s="452"/>
      <c r="AD333" s="452"/>
      <c r="AE333" s="452"/>
      <c r="AF333" s="452"/>
      <c r="AG333" s="452"/>
      <c r="AH333" s="452"/>
      <c r="AI333" s="452"/>
      <c r="AJ333" s="454"/>
      <c r="AK333" s="454">
        <f t="shared" si="42"/>
        <v>0</v>
      </c>
      <c r="AL333" s="454">
        <f t="shared" si="43"/>
        <v>600</v>
      </c>
      <c r="AM333" s="454">
        <v>0</v>
      </c>
      <c r="AN333" s="454">
        <v>0</v>
      </c>
      <c r="AO333" s="454"/>
      <c r="AP333" s="454"/>
      <c r="AQ333" s="452"/>
      <c r="AR333" s="452"/>
      <c r="AS333" s="494">
        <v>0</v>
      </c>
      <c r="AT333" s="494">
        <v>0</v>
      </c>
      <c r="AU333" s="495"/>
      <c r="AV333" s="495"/>
      <c r="AW333" s="147"/>
      <c r="AX333" s="119"/>
      <c r="BB333" s="119">
        <v>1</v>
      </c>
      <c r="BC333" s="119">
        <v>3</v>
      </c>
    </row>
    <row r="334" spans="1:55" ht="31.5" x14ac:dyDescent="0.25">
      <c r="A334" s="448" t="s">
        <v>1287</v>
      </c>
      <c r="B334" s="449" t="s">
        <v>1288</v>
      </c>
      <c r="C334" s="450" t="s">
        <v>1124</v>
      </c>
      <c r="D334" s="450"/>
      <c r="E334" s="450">
        <v>2020</v>
      </c>
      <c r="F334" s="450"/>
      <c r="G334" s="452"/>
      <c r="H334" s="452"/>
      <c r="I334" s="492"/>
      <c r="J334" s="492"/>
      <c r="K334" s="492"/>
      <c r="L334" s="492"/>
      <c r="M334" s="492"/>
      <c r="N334" s="492"/>
      <c r="O334" s="492"/>
      <c r="P334" s="492"/>
      <c r="Q334" s="492"/>
      <c r="R334" s="492"/>
      <c r="S334" s="492"/>
      <c r="T334" s="492"/>
      <c r="U334" s="492"/>
      <c r="V334" s="492"/>
      <c r="W334" s="492"/>
      <c r="X334" s="453">
        <v>600</v>
      </c>
      <c r="Y334" s="453">
        <v>600</v>
      </c>
      <c r="Z334" s="453"/>
      <c r="AA334" s="453"/>
      <c r="AB334" s="453"/>
      <c r="AC334" s="452"/>
      <c r="AD334" s="452"/>
      <c r="AE334" s="452"/>
      <c r="AF334" s="452"/>
      <c r="AG334" s="452"/>
      <c r="AH334" s="452"/>
      <c r="AI334" s="452"/>
      <c r="AJ334" s="454"/>
      <c r="AK334" s="454">
        <f t="shared" si="42"/>
        <v>0</v>
      </c>
      <c r="AL334" s="454">
        <f t="shared" si="43"/>
        <v>600</v>
      </c>
      <c r="AM334" s="454">
        <v>0</v>
      </c>
      <c r="AN334" s="454">
        <v>0</v>
      </c>
      <c r="AO334" s="454"/>
      <c r="AP334" s="454"/>
      <c r="AQ334" s="452"/>
      <c r="AR334" s="452"/>
      <c r="AS334" s="494">
        <v>0</v>
      </c>
      <c r="AT334" s="494">
        <v>0</v>
      </c>
      <c r="AU334" s="495"/>
      <c r="AV334" s="495"/>
      <c r="AW334" s="538"/>
      <c r="AX334" s="119"/>
      <c r="BB334" s="119">
        <v>1</v>
      </c>
      <c r="BC334" s="119">
        <v>4</v>
      </c>
    </row>
    <row r="335" spans="1:55" ht="31.5" x14ac:dyDescent="0.25">
      <c r="A335" s="448" t="s">
        <v>1289</v>
      </c>
      <c r="B335" s="449" t="s">
        <v>1290</v>
      </c>
      <c r="C335" s="450" t="s">
        <v>1155</v>
      </c>
      <c r="D335" s="450"/>
      <c r="E335" s="450">
        <v>2020</v>
      </c>
      <c r="F335" s="450"/>
      <c r="G335" s="452"/>
      <c r="H335" s="452"/>
      <c r="I335" s="492"/>
      <c r="J335" s="492"/>
      <c r="K335" s="492"/>
      <c r="L335" s="492"/>
      <c r="M335" s="492"/>
      <c r="N335" s="492"/>
      <c r="O335" s="492"/>
      <c r="P335" s="492"/>
      <c r="Q335" s="492"/>
      <c r="R335" s="492"/>
      <c r="S335" s="492"/>
      <c r="T335" s="492"/>
      <c r="U335" s="492"/>
      <c r="V335" s="492"/>
      <c r="W335" s="492"/>
      <c r="X335" s="453">
        <v>2500</v>
      </c>
      <c r="Y335" s="453">
        <v>2500</v>
      </c>
      <c r="Z335" s="453"/>
      <c r="AA335" s="453"/>
      <c r="AB335" s="453"/>
      <c r="AC335" s="452"/>
      <c r="AD335" s="452"/>
      <c r="AE335" s="452"/>
      <c r="AF335" s="452"/>
      <c r="AG335" s="452"/>
      <c r="AH335" s="452"/>
      <c r="AI335" s="452"/>
      <c r="AJ335" s="454"/>
      <c r="AK335" s="454">
        <f t="shared" si="42"/>
        <v>0</v>
      </c>
      <c r="AL335" s="454">
        <f t="shared" si="43"/>
        <v>2500</v>
      </c>
      <c r="AM335" s="454">
        <v>0</v>
      </c>
      <c r="AN335" s="454">
        <v>0</v>
      </c>
      <c r="AO335" s="454"/>
      <c r="AP335" s="454"/>
      <c r="AQ335" s="452"/>
      <c r="AR335" s="452"/>
      <c r="AS335" s="494">
        <v>0</v>
      </c>
      <c r="AT335" s="494">
        <v>0</v>
      </c>
      <c r="AU335" s="495"/>
      <c r="AV335" s="495"/>
      <c r="AW335" s="538"/>
      <c r="AX335" s="119"/>
      <c r="BB335" s="119">
        <v>1</v>
      </c>
      <c r="BC335" s="119">
        <v>4</v>
      </c>
    </row>
    <row r="336" spans="1:55" ht="47.25" x14ac:dyDescent="0.25">
      <c r="A336" s="448" t="s">
        <v>1291</v>
      </c>
      <c r="B336" s="449" t="s">
        <v>1292</v>
      </c>
      <c r="C336" s="450" t="s">
        <v>1139</v>
      </c>
      <c r="D336" s="450"/>
      <c r="E336" s="450">
        <v>2020</v>
      </c>
      <c r="F336" s="450"/>
      <c r="G336" s="452"/>
      <c r="H336" s="452"/>
      <c r="I336" s="492"/>
      <c r="J336" s="492"/>
      <c r="K336" s="492"/>
      <c r="L336" s="492"/>
      <c r="M336" s="492"/>
      <c r="N336" s="492"/>
      <c r="O336" s="492"/>
      <c r="P336" s="492"/>
      <c r="Q336" s="492"/>
      <c r="R336" s="492"/>
      <c r="S336" s="492"/>
      <c r="T336" s="492"/>
      <c r="U336" s="492"/>
      <c r="V336" s="492"/>
      <c r="W336" s="492"/>
      <c r="X336" s="453">
        <v>870</v>
      </c>
      <c r="Y336" s="453">
        <v>870</v>
      </c>
      <c r="Z336" s="453"/>
      <c r="AA336" s="453"/>
      <c r="AB336" s="453"/>
      <c r="AC336" s="452"/>
      <c r="AD336" s="452"/>
      <c r="AE336" s="452"/>
      <c r="AF336" s="452"/>
      <c r="AG336" s="452"/>
      <c r="AH336" s="452"/>
      <c r="AI336" s="452"/>
      <c r="AJ336" s="454"/>
      <c r="AK336" s="454">
        <f t="shared" si="42"/>
        <v>0</v>
      </c>
      <c r="AL336" s="454">
        <f t="shared" si="43"/>
        <v>870</v>
      </c>
      <c r="AM336" s="454">
        <v>0</v>
      </c>
      <c r="AN336" s="454">
        <v>0</v>
      </c>
      <c r="AO336" s="454"/>
      <c r="AP336" s="454"/>
      <c r="AQ336" s="452"/>
      <c r="AR336" s="452"/>
      <c r="AS336" s="494">
        <v>0</v>
      </c>
      <c r="AT336" s="494">
        <v>0</v>
      </c>
      <c r="AU336" s="495"/>
      <c r="AV336" s="495"/>
      <c r="AW336" s="538"/>
      <c r="AX336" s="119"/>
      <c r="BB336" s="119">
        <v>1</v>
      </c>
      <c r="BC336" s="119">
        <v>4</v>
      </c>
    </row>
    <row r="337" spans="1:55" ht="47.25" x14ac:dyDescent="0.25">
      <c r="A337" s="448" t="s">
        <v>1293</v>
      </c>
      <c r="B337" s="449" t="s">
        <v>1294</v>
      </c>
      <c r="C337" s="450" t="s">
        <v>1139</v>
      </c>
      <c r="D337" s="450"/>
      <c r="E337" s="450">
        <v>2020</v>
      </c>
      <c r="F337" s="450"/>
      <c r="G337" s="452"/>
      <c r="H337" s="452"/>
      <c r="I337" s="492"/>
      <c r="J337" s="492"/>
      <c r="K337" s="492"/>
      <c r="L337" s="492"/>
      <c r="M337" s="492"/>
      <c r="N337" s="492"/>
      <c r="O337" s="492"/>
      <c r="P337" s="492"/>
      <c r="Q337" s="492"/>
      <c r="R337" s="492"/>
      <c r="S337" s="492"/>
      <c r="T337" s="492"/>
      <c r="U337" s="492"/>
      <c r="V337" s="492"/>
      <c r="W337" s="492"/>
      <c r="X337" s="453">
        <v>441</v>
      </c>
      <c r="Y337" s="453">
        <v>441</v>
      </c>
      <c r="Z337" s="453"/>
      <c r="AA337" s="453"/>
      <c r="AB337" s="453"/>
      <c r="AC337" s="452"/>
      <c r="AD337" s="452"/>
      <c r="AE337" s="452"/>
      <c r="AF337" s="452"/>
      <c r="AG337" s="452"/>
      <c r="AH337" s="452"/>
      <c r="AI337" s="452"/>
      <c r="AJ337" s="454"/>
      <c r="AK337" s="454">
        <f t="shared" si="42"/>
        <v>0</v>
      </c>
      <c r="AL337" s="454">
        <f t="shared" si="43"/>
        <v>441</v>
      </c>
      <c r="AM337" s="454">
        <v>0</v>
      </c>
      <c r="AN337" s="454">
        <v>0</v>
      </c>
      <c r="AO337" s="454"/>
      <c r="AP337" s="454"/>
      <c r="AQ337" s="452"/>
      <c r="AR337" s="452"/>
      <c r="AS337" s="494">
        <v>0</v>
      </c>
      <c r="AT337" s="494">
        <v>0</v>
      </c>
      <c r="AU337" s="495"/>
      <c r="AV337" s="495"/>
      <c r="AW337" s="538"/>
      <c r="AX337" s="119"/>
      <c r="BB337" s="119">
        <v>1</v>
      </c>
      <c r="BC337" s="119">
        <v>4</v>
      </c>
    </row>
    <row r="338" spans="1:55" ht="47.25" x14ac:dyDescent="0.25">
      <c r="A338" s="448" t="s">
        <v>1295</v>
      </c>
      <c r="B338" s="449" t="s">
        <v>1296</v>
      </c>
      <c r="C338" s="450" t="s">
        <v>1151</v>
      </c>
      <c r="D338" s="450"/>
      <c r="E338" s="450">
        <v>2020</v>
      </c>
      <c r="F338" s="450"/>
      <c r="G338" s="452"/>
      <c r="H338" s="452"/>
      <c r="I338" s="492"/>
      <c r="J338" s="492"/>
      <c r="K338" s="492"/>
      <c r="L338" s="492"/>
      <c r="M338" s="492"/>
      <c r="N338" s="492"/>
      <c r="O338" s="492"/>
      <c r="P338" s="492"/>
      <c r="Q338" s="492"/>
      <c r="R338" s="492"/>
      <c r="S338" s="492"/>
      <c r="T338" s="492"/>
      <c r="U338" s="492"/>
      <c r="V338" s="492"/>
      <c r="W338" s="492"/>
      <c r="X338" s="453">
        <v>1500</v>
      </c>
      <c r="Y338" s="453">
        <v>1500</v>
      </c>
      <c r="Z338" s="453"/>
      <c r="AA338" s="453"/>
      <c r="AB338" s="453"/>
      <c r="AC338" s="452"/>
      <c r="AD338" s="452"/>
      <c r="AE338" s="452"/>
      <c r="AF338" s="452"/>
      <c r="AG338" s="452"/>
      <c r="AH338" s="452"/>
      <c r="AI338" s="452"/>
      <c r="AJ338" s="454"/>
      <c r="AK338" s="454">
        <f t="shared" si="42"/>
        <v>0</v>
      </c>
      <c r="AL338" s="454">
        <f t="shared" si="43"/>
        <v>1500</v>
      </c>
      <c r="AM338" s="454">
        <v>0</v>
      </c>
      <c r="AN338" s="454">
        <v>0</v>
      </c>
      <c r="AO338" s="454"/>
      <c r="AP338" s="454"/>
      <c r="AQ338" s="452"/>
      <c r="AR338" s="452"/>
      <c r="AS338" s="494">
        <v>0</v>
      </c>
      <c r="AT338" s="494">
        <v>0</v>
      </c>
      <c r="AU338" s="495"/>
      <c r="AV338" s="495"/>
      <c r="AW338" s="538"/>
      <c r="AX338" s="119"/>
      <c r="BB338" s="119">
        <v>1</v>
      </c>
      <c r="BC338" s="119">
        <v>4</v>
      </c>
    </row>
    <row r="339" spans="1:55" ht="47.25" x14ac:dyDescent="0.25">
      <c r="A339" s="448" t="s">
        <v>1297</v>
      </c>
      <c r="B339" s="449" t="s">
        <v>1298</v>
      </c>
      <c r="C339" s="450" t="s">
        <v>1105</v>
      </c>
      <c r="D339" s="450"/>
      <c r="E339" s="450" t="s">
        <v>1063</v>
      </c>
      <c r="F339" s="450"/>
      <c r="G339" s="452">
        <v>573</v>
      </c>
      <c r="H339" s="452"/>
      <c r="I339" s="492"/>
      <c r="J339" s="492"/>
      <c r="K339" s="492"/>
      <c r="L339" s="492"/>
      <c r="M339" s="492"/>
      <c r="N339" s="492"/>
      <c r="O339" s="492"/>
      <c r="P339" s="492"/>
      <c r="Q339" s="492"/>
      <c r="R339" s="492"/>
      <c r="S339" s="492"/>
      <c r="T339" s="492"/>
      <c r="U339" s="492"/>
      <c r="V339" s="492"/>
      <c r="W339" s="492"/>
      <c r="X339" s="453"/>
      <c r="Y339" s="453"/>
      <c r="Z339" s="453"/>
      <c r="AA339" s="453"/>
      <c r="AB339" s="453"/>
      <c r="AC339" s="452"/>
      <c r="AD339" s="452">
        <v>400</v>
      </c>
      <c r="AE339" s="452"/>
      <c r="AF339" s="452"/>
      <c r="AG339" s="452"/>
      <c r="AH339" s="452"/>
      <c r="AI339" s="452"/>
      <c r="AJ339" s="454"/>
      <c r="AK339" s="454">
        <f t="shared" si="42"/>
        <v>0</v>
      </c>
      <c r="AL339" s="454">
        <f t="shared" si="43"/>
        <v>0</v>
      </c>
      <c r="AM339" s="454"/>
      <c r="AN339" s="454"/>
      <c r="AO339" s="454"/>
      <c r="AP339" s="454"/>
      <c r="AQ339" s="452"/>
      <c r="AR339" s="452"/>
      <c r="AS339" s="494"/>
      <c r="AT339" s="494"/>
      <c r="AU339" s="495"/>
      <c r="AV339" s="495"/>
      <c r="AW339" s="538"/>
      <c r="AX339" s="119"/>
      <c r="BB339" s="119">
        <v>1</v>
      </c>
      <c r="BC339" s="119">
        <v>4</v>
      </c>
    </row>
    <row r="340" spans="1:55" ht="47.25" x14ac:dyDescent="0.25">
      <c r="A340" s="448" t="s">
        <v>1299</v>
      </c>
      <c r="B340" s="449" t="s">
        <v>1300</v>
      </c>
      <c r="C340" s="450" t="s">
        <v>1066</v>
      </c>
      <c r="D340" s="450"/>
      <c r="E340" s="450"/>
      <c r="F340" s="450"/>
      <c r="G340" s="452"/>
      <c r="H340" s="452"/>
      <c r="I340" s="492"/>
      <c r="J340" s="492"/>
      <c r="K340" s="492"/>
      <c r="L340" s="492"/>
      <c r="M340" s="492"/>
      <c r="N340" s="492"/>
      <c r="O340" s="492"/>
      <c r="P340" s="492"/>
      <c r="Q340" s="492"/>
      <c r="R340" s="492"/>
      <c r="S340" s="492"/>
      <c r="T340" s="492"/>
      <c r="U340" s="492"/>
      <c r="V340" s="492"/>
      <c r="W340" s="492"/>
      <c r="X340" s="453"/>
      <c r="Y340" s="453"/>
      <c r="Z340" s="453"/>
      <c r="AA340" s="453"/>
      <c r="AB340" s="453"/>
      <c r="AC340" s="452"/>
      <c r="AD340" s="452"/>
      <c r="AE340" s="452"/>
      <c r="AF340" s="452"/>
      <c r="AG340" s="452"/>
      <c r="AH340" s="452"/>
      <c r="AI340" s="452"/>
      <c r="AJ340" s="454"/>
      <c r="AK340" s="454">
        <f>IF(AN340-Y340&gt;0,AN340-Y340,0)</f>
        <v>2094</v>
      </c>
      <c r="AL340" s="454">
        <f>IF(Y340-AN340&gt;0,Y340-AN340,0)</f>
        <v>0</v>
      </c>
      <c r="AM340" s="454">
        <v>2327</v>
      </c>
      <c r="AN340" s="454">
        <v>2094</v>
      </c>
      <c r="AO340" s="454"/>
      <c r="AP340" s="454"/>
      <c r="AQ340" s="452"/>
      <c r="AR340" s="452"/>
      <c r="AS340" s="494">
        <v>2327</v>
      </c>
      <c r="AT340" s="494">
        <v>2094</v>
      </c>
      <c r="AU340" s="495"/>
      <c r="AV340" s="495"/>
      <c r="AW340" s="538"/>
      <c r="AX340" s="119"/>
      <c r="BB340" s="119">
        <v>1</v>
      </c>
      <c r="BC340" s="119">
        <v>4</v>
      </c>
    </row>
    <row r="341" spans="1:55" ht="47.25" x14ac:dyDescent="0.25">
      <c r="A341" s="448" t="s">
        <v>1301</v>
      </c>
      <c r="B341" s="449" t="s">
        <v>1302</v>
      </c>
      <c r="C341" s="450" t="s">
        <v>1273</v>
      </c>
      <c r="D341" s="450"/>
      <c r="E341" s="450">
        <v>2020</v>
      </c>
      <c r="F341" s="450"/>
      <c r="G341" s="452"/>
      <c r="H341" s="452"/>
      <c r="I341" s="492"/>
      <c r="J341" s="492"/>
      <c r="K341" s="492"/>
      <c r="L341" s="492"/>
      <c r="M341" s="492"/>
      <c r="N341" s="492"/>
      <c r="O341" s="492"/>
      <c r="P341" s="492"/>
      <c r="Q341" s="492"/>
      <c r="R341" s="492"/>
      <c r="S341" s="492"/>
      <c r="T341" s="492"/>
      <c r="U341" s="492"/>
      <c r="V341" s="492"/>
      <c r="W341" s="492"/>
      <c r="X341" s="453"/>
      <c r="Y341" s="453"/>
      <c r="Z341" s="453"/>
      <c r="AA341" s="453"/>
      <c r="AB341" s="453"/>
      <c r="AC341" s="452"/>
      <c r="AD341" s="452"/>
      <c r="AE341" s="452"/>
      <c r="AF341" s="452"/>
      <c r="AG341" s="452"/>
      <c r="AH341" s="452"/>
      <c r="AI341" s="452"/>
      <c r="AJ341" s="454"/>
      <c r="AK341" s="454">
        <f t="shared" ref="AK341:AK358" si="44">IF(AN341-Y341&gt;0,AN341-Y341,0)</f>
        <v>870</v>
      </c>
      <c r="AL341" s="454">
        <f t="shared" ref="AL341:AL358" si="45">IF(Y341-AN341&gt;0,Y341-AN341,0)</f>
        <v>0</v>
      </c>
      <c r="AM341" s="454">
        <v>1024</v>
      </c>
      <c r="AN341" s="454">
        <v>870</v>
      </c>
      <c r="AO341" s="454"/>
      <c r="AP341" s="454"/>
      <c r="AQ341" s="452"/>
      <c r="AR341" s="452"/>
      <c r="AS341" s="494">
        <v>1024</v>
      </c>
      <c r="AT341" s="494">
        <v>870</v>
      </c>
      <c r="AU341" s="495"/>
      <c r="AV341" s="495"/>
      <c r="AW341" s="538"/>
      <c r="AX341" s="119"/>
      <c r="BB341" s="119">
        <v>1</v>
      </c>
      <c r="BC341" s="119">
        <v>4</v>
      </c>
    </row>
    <row r="342" spans="1:55" ht="47.25" x14ac:dyDescent="0.25">
      <c r="A342" s="448" t="s">
        <v>1303</v>
      </c>
      <c r="B342" s="449" t="s">
        <v>1304</v>
      </c>
      <c r="C342" s="450" t="s">
        <v>1273</v>
      </c>
      <c r="D342" s="450"/>
      <c r="E342" s="450">
        <v>2020</v>
      </c>
      <c r="F342" s="450"/>
      <c r="G342" s="452"/>
      <c r="H342" s="452"/>
      <c r="I342" s="492"/>
      <c r="J342" s="492"/>
      <c r="K342" s="492"/>
      <c r="L342" s="492"/>
      <c r="M342" s="492"/>
      <c r="N342" s="492"/>
      <c r="O342" s="492"/>
      <c r="P342" s="492"/>
      <c r="Q342" s="492"/>
      <c r="R342" s="492"/>
      <c r="S342" s="492"/>
      <c r="T342" s="492"/>
      <c r="U342" s="492"/>
      <c r="V342" s="492"/>
      <c r="W342" s="492"/>
      <c r="X342" s="453"/>
      <c r="Y342" s="453"/>
      <c r="Z342" s="453"/>
      <c r="AA342" s="453"/>
      <c r="AB342" s="453"/>
      <c r="AC342" s="452"/>
      <c r="AD342" s="452"/>
      <c r="AE342" s="452"/>
      <c r="AF342" s="452"/>
      <c r="AG342" s="452"/>
      <c r="AH342" s="452"/>
      <c r="AI342" s="452"/>
      <c r="AJ342" s="454"/>
      <c r="AK342" s="454">
        <f t="shared" si="44"/>
        <v>600</v>
      </c>
      <c r="AL342" s="454">
        <f t="shared" si="45"/>
        <v>0</v>
      </c>
      <c r="AM342" s="454">
        <v>857</v>
      </c>
      <c r="AN342" s="454">
        <v>600</v>
      </c>
      <c r="AO342" s="454"/>
      <c r="AP342" s="454"/>
      <c r="AQ342" s="452"/>
      <c r="AR342" s="452">
        <v>600</v>
      </c>
      <c r="AS342" s="494">
        <v>0</v>
      </c>
      <c r="AT342" s="494">
        <v>0</v>
      </c>
      <c r="AU342" s="495"/>
      <c r="AV342" s="495"/>
      <c r="AW342" s="538"/>
      <c r="AX342" s="119"/>
      <c r="BB342" s="119">
        <v>1</v>
      </c>
      <c r="BC342" s="119">
        <v>4</v>
      </c>
    </row>
    <row r="343" spans="1:55" ht="47.25" x14ac:dyDescent="0.25">
      <c r="A343" s="448" t="s">
        <v>1305</v>
      </c>
      <c r="B343" s="449" t="s">
        <v>1306</v>
      </c>
      <c r="C343" s="450" t="s">
        <v>1273</v>
      </c>
      <c r="D343" s="450"/>
      <c r="E343" s="450">
        <v>2020</v>
      </c>
      <c r="F343" s="450"/>
      <c r="G343" s="452"/>
      <c r="H343" s="452"/>
      <c r="I343" s="492"/>
      <c r="J343" s="492"/>
      <c r="K343" s="492"/>
      <c r="L343" s="492"/>
      <c r="M343" s="492"/>
      <c r="N343" s="492"/>
      <c r="O343" s="492"/>
      <c r="P343" s="492"/>
      <c r="Q343" s="492"/>
      <c r="R343" s="492"/>
      <c r="S343" s="492"/>
      <c r="T343" s="492"/>
      <c r="U343" s="492"/>
      <c r="V343" s="492"/>
      <c r="W343" s="492"/>
      <c r="X343" s="453"/>
      <c r="Y343" s="453"/>
      <c r="Z343" s="453"/>
      <c r="AA343" s="453"/>
      <c r="AB343" s="453"/>
      <c r="AC343" s="452"/>
      <c r="AD343" s="452"/>
      <c r="AE343" s="452"/>
      <c r="AF343" s="452"/>
      <c r="AG343" s="452"/>
      <c r="AH343" s="452"/>
      <c r="AI343" s="452"/>
      <c r="AJ343" s="454"/>
      <c r="AK343" s="454">
        <f t="shared" si="44"/>
        <v>350</v>
      </c>
      <c r="AL343" s="454">
        <f t="shared" si="45"/>
        <v>0</v>
      </c>
      <c r="AM343" s="454">
        <v>412</v>
      </c>
      <c r="AN343" s="454">
        <v>350</v>
      </c>
      <c r="AO343" s="454"/>
      <c r="AP343" s="454"/>
      <c r="AQ343" s="452"/>
      <c r="AR343" s="452"/>
      <c r="AS343" s="494">
        <v>412</v>
      </c>
      <c r="AT343" s="494">
        <v>350</v>
      </c>
      <c r="AU343" s="495"/>
      <c r="AV343" s="495"/>
      <c r="AW343" s="538"/>
      <c r="AX343" s="119"/>
      <c r="BB343" s="119">
        <v>1</v>
      </c>
      <c r="BC343" s="119">
        <v>4</v>
      </c>
    </row>
    <row r="344" spans="1:55" ht="47.25" x14ac:dyDescent="0.25">
      <c r="A344" s="448" t="s">
        <v>1307</v>
      </c>
      <c r="B344" s="449" t="s">
        <v>1308</v>
      </c>
      <c r="C344" s="450" t="s">
        <v>1273</v>
      </c>
      <c r="D344" s="450"/>
      <c r="E344" s="450">
        <v>2020</v>
      </c>
      <c r="F344" s="450"/>
      <c r="G344" s="452"/>
      <c r="H344" s="452"/>
      <c r="I344" s="492"/>
      <c r="J344" s="492"/>
      <c r="K344" s="492"/>
      <c r="L344" s="492"/>
      <c r="M344" s="492"/>
      <c r="N344" s="492"/>
      <c r="O344" s="492"/>
      <c r="P344" s="492"/>
      <c r="Q344" s="492"/>
      <c r="R344" s="492"/>
      <c r="S344" s="492"/>
      <c r="T344" s="492"/>
      <c r="U344" s="492"/>
      <c r="V344" s="492"/>
      <c r="W344" s="492"/>
      <c r="X344" s="453"/>
      <c r="Y344" s="453"/>
      <c r="Z344" s="453"/>
      <c r="AA344" s="453"/>
      <c r="AB344" s="453"/>
      <c r="AC344" s="452"/>
      <c r="AD344" s="452"/>
      <c r="AE344" s="452"/>
      <c r="AF344" s="452"/>
      <c r="AG344" s="452"/>
      <c r="AH344" s="452"/>
      <c r="AI344" s="452"/>
      <c r="AJ344" s="454"/>
      <c r="AK344" s="454">
        <f t="shared" si="44"/>
        <v>1270</v>
      </c>
      <c r="AL344" s="454">
        <f t="shared" si="45"/>
        <v>0</v>
      </c>
      <c r="AM344" s="454">
        <v>1814</v>
      </c>
      <c r="AN344" s="454">
        <v>1270</v>
      </c>
      <c r="AO344" s="454"/>
      <c r="AP344" s="454"/>
      <c r="AQ344" s="452"/>
      <c r="AR344" s="452"/>
      <c r="AS344" s="494">
        <v>1814</v>
      </c>
      <c r="AT344" s="494">
        <v>1270</v>
      </c>
      <c r="AU344" s="495"/>
      <c r="AV344" s="495"/>
      <c r="AW344" s="538"/>
      <c r="AX344" s="119"/>
      <c r="BB344" s="119">
        <v>1</v>
      </c>
      <c r="BC344" s="119">
        <v>4</v>
      </c>
    </row>
    <row r="345" spans="1:55" ht="47.25" x14ac:dyDescent="0.25">
      <c r="A345" s="448" t="s">
        <v>1309</v>
      </c>
      <c r="B345" s="449" t="s">
        <v>1310</v>
      </c>
      <c r="C345" s="450" t="s">
        <v>1273</v>
      </c>
      <c r="D345" s="450"/>
      <c r="E345" s="450">
        <v>2020</v>
      </c>
      <c r="F345" s="450"/>
      <c r="G345" s="452"/>
      <c r="H345" s="452"/>
      <c r="I345" s="492"/>
      <c r="J345" s="492"/>
      <c r="K345" s="492"/>
      <c r="L345" s="492"/>
      <c r="M345" s="492"/>
      <c r="N345" s="492"/>
      <c r="O345" s="492"/>
      <c r="P345" s="492"/>
      <c r="Q345" s="492"/>
      <c r="R345" s="492"/>
      <c r="S345" s="492"/>
      <c r="T345" s="492"/>
      <c r="U345" s="492"/>
      <c r="V345" s="492"/>
      <c r="W345" s="492"/>
      <c r="X345" s="453"/>
      <c r="Y345" s="453"/>
      <c r="Z345" s="453"/>
      <c r="AA345" s="453"/>
      <c r="AB345" s="453"/>
      <c r="AC345" s="452"/>
      <c r="AD345" s="452"/>
      <c r="AE345" s="452"/>
      <c r="AF345" s="452"/>
      <c r="AG345" s="452"/>
      <c r="AH345" s="452"/>
      <c r="AI345" s="452"/>
      <c r="AJ345" s="454"/>
      <c r="AK345" s="454">
        <f t="shared" si="44"/>
        <v>120</v>
      </c>
      <c r="AL345" s="454">
        <f t="shared" si="45"/>
        <v>0</v>
      </c>
      <c r="AM345" s="454">
        <v>171</v>
      </c>
      <c r="AN345" s="454">
        <v>120</v>
      </c>
      <c r="AO345" s="454"/>
      <c r="AP345" s="454"/>
      <c r="AQ345" s="452"/>
      <c r="AR345" s="452">
        <v>120</v>
      </c>
      <c r="AS345" s="494">
        <v>0</v>
      </c>
      <c r="AT345" s="494">
        <v>0</v>
      </c>
      <c r="AU345" s="495"/>
      <c r="AV345" s="495"/>
      <c r="AW345" s="538"/>
      <c r="AX345" s="119"/>
      <c r="BB345" s="119">
        <v>1</v>
      </c>
      <c r="BC345" s="119">
        <v>4</v>
      </c>
    </row>
    <row r="346" spans="1:55" ht="47.25" x14ac:dyDescent="0.25">
      <c r="A346" s="448" t="s">
        <v>1311</v>
      </c>
      <c r="B346" s="449" t="s">
        <v>1312</v>
      </c>
      <c r="C346" s="450" t="s">
        <v>1151</v>
      </c>
      <c r="D346" s="450"/>
      <c r="E346" s="450">
        <v>2020</v>
      </c>
      <c r="F346" s="450"/>
      <c r="G346" s="452"/>
      <c r="H346" s="452"/>
      <c r="I346" s="492"/>
      <c r="J346" s="492"/>
      <c r="K346" s="492"/>
      <c r="L346" s="492"/>
      <c r="M346" s="492"/>
      <c r="N346" s="492"/>
      <c r="O346" s="492"/>
      <c r="P346" s="492"/>
      <c r="Q346" s="492"/>
      <c r="R346" s="492"/>
      <c r="S346" s="492"/>
      <c r="T346" s="492"/>
      <c r="U346" s="492"/>
      <c r="V346" s="492"/>
      <c r="W346" s="492"/>
      <c r="X346" s="453"/>
      <c r="Y346" s="453"/>
      <c r="Z346" s="453"/>
      <c r="AA346" s="453"/>
      <c r="AB346" s="453"/>
      <c r="AC346" s="452"/>
      <c r="AD346" s="452"/>
      <c r="AE346" s="452"/>
      <c r="AF346" s="452"/>
      <c r="AG346" s="452"/>
      <c r="AH346" s="452"/>
      <c r="AI346" s="452"/>
      <c r="AJ346" s="454"/>
      <c r="AK346" s="454">
        <f t="shared" si="44"/>
        <v>530</v>
      </c>
      <c r="AL346" s="454">
        <f t="shared" si="45"/>
        <v>0</v>
      </c>
      <c r="AM346" s="454">
        <v>589</v>
      </c>
      <c r="AN346" s="454">
        <v>530</v>
      </c>
      <c r="AO346" s="454"/>
      <c r="AP346" s="454"/>
      <c r="AQ346" s="452"/>
      <c r="AR346" s="452"/>
      <c r="AS346" s="494">
        <v>589</v>
      </c>
      <c r="AT346" s="494">
        <v>530</v>
      </c>
      <c r="AU346" s="495"/>
      <c r="AV346" s="495"/>
      <c r="AW346" s="538"/>
      <c r="AX346" s="119"/>
      <c r="BB346" s="119">
        <v>1</v>
      </c>
      <c r="BC346" s="119">
        <v>4</v>
      </c>
    </row>
    <row r="347" spans="1:55" ht="47.25" x14ac:dyDescent="0.25">
      <c r="A347" s="448" t="s">
        <v>1313</v>
      </c>
      <c r="B347" s="449" t="s">
        <v>1314</v>
      </c>
      <c r="C347" s="450" t="s">
        <v>1151</v>
      </c>
      <c r="D347" s="450"/>
      <c r="E347" s="450">
        <v>2020</v>
      </c>
      <c r="F347" s="450"/>
      <c r="G347" s="452"/>
      <c r="H347" s="452"/>
      <c r="I347" s="492"/>
      <c r="J347" s="492"/>
      <c r="K347" s="492"/>
      <c r="L347" s="492"/>
      <c r="M347" s="492"/>
      <c r="N347" s="492"/>
      <c r="O347" s="492"/>
      <c r="P347" s="492"/>
      <c r="Q347" s="492"/>
      <c r="R347" s="492"/>
      <c r="S347" s="492"/>
      <c r="T347" s="492"/>
      <c r="U347" s="492"/>
      <c r="V347" s="492"/>
      <c r="W347" s="492"/>
      <c r="X347" s="453"/>
      <c r="Y347" s="453"/>
      <c r="Z347" s="453"/>
      <c r="AA347" s="453"/>
      <c r="AB347" s="453"/>
      <c r="AC347" s="452"/>
      <c r="AD347" s="452"/>
      <c r="AE347" s="452"/>
      <c r="AF347" s="452"/>
      <c r="AG347" s="452"/>
      <c r="AH347" s="452"/>
      <c r="AI347" s="452"/>
      <c r="AJ347" s="454"/>
      <c r="AK347" s="454">
        <f t="shared" si="44"/>
        <v>970</v>
      </c>
      <c r="AL347" s="454">
        <f t="shared" si="45"/>
        <v>0</v>
      </c>
      <c r="AM347" s="454">
        <v>1080</v>
      </c>
      <c r="AN347" s="454">
        <v>970</v>
      </c>
      <c r="AO347" s="454"/>
      <c r="AP347" s="454"/>
      <c r="AQ347" s="452"/>
      <c r="AR347" s="452"/>
      <c r="AS347" s="494">
        <v>1080</v>
      </c>
      <c r="AT347" s="494">
        <v>970</v>
      </c>
      <c r="AU347" s="495"/>
      <c r="AV347" s="495"/>
      <c r="AW347" s="538"/>
      <c r="AX347" s="119"/>
      <c r="BB347" s="119">
        <v>1</v>
      </c>
      <c r="BC347" s="119">
        <v>4</v>
      </c>
    </row>
    <row r="348" spans="1:55" ht="47.25" x14ac:dyDescent="0.25">
      <c r="A348" s="448" t="s">
        <v>1315</v>
      </c>
      <c r="B348" s="449" t="s">
        <v>1316</v>
      </c>
      <c r="C348" s="450" t="s">
        <v>1151</v>
      </c>
      <c r="D348" s="450"/>
      <c r="E348" s="450">
        <v>2020</v>
      </c>
      <c r="F348" s="450"/>
      <c r="G348" s="452"/>
      <c r="H348" s="452"/>
      <c r="I348" s="492"/>
      <c r="J348" s="492"/>
      <c r="K348" s="492"/>
      <c r="L348" s="492"/>
      <c r="M348" s="492"/>
      <c r="N348" s="492"/>
      <c r="O348" s="492"/>
      <c r="P348" s="492"/>
      <c r="Q348" s="492"/>
      <c r="R348" s="492"/>
      <c r="S348" s="492"/>
      <c r="T348" s="492"/>
      <c r="U348" s="492"/>
      <c r="V348" s="492"/>
      <c r="W348" s="492"/>
      <c r="X348" s="453"/>
      <c r="Y348" s="453"/>
      <c r="Z348" s="453"/>
      <c r="AA348" s="453"/>
      <c r="AB348" s="453"/>
      <c r="AC348" s="452"/>
      <c r="AD348" s="452"/>
      <c r="AE348" s="452"/>
      <c r="AF348" s="452"/>
      <c r="AG348" s="452"/>
      <c r="AH348" s="452"/>
      <c r="AI348" s="452"/>
      <c r="AJ348" s="454"/>
      <c r="AK348" s="454">
        <f t="shared" si="44"/>
        <v>820</v>
      </c>
      <c r="AL348" s="454">
        <f t="shared" si="45"/>
        <v>0</v>
      </c>
      <c r="AM348" s="454">
        <v>911</v>
      </c>
      <c r="AN348" s="454">
        <v>820</v>
      </c>
      <c r="AO348" s="454"/>
      <c r="AP348" s="454"/>
      <c r="AQ348" s="452"/>
      <c r="AR348" s="452"/>
      <c r="AS348" s="494">
        <v>911</v>
      </c>
      <c r="AT348" s="494">
        <v>820</v>
      </c>
      <c r="AU348" s="495"/>
      <c r="AV348" s="495"/>
      <c r="AW348" s="538"/>
      <c r="AX348" s="119"/>
      <c r="BB348" s="119">
        <v>1</v>
      </c>
      <c r="BC348" s="119">
        <v>4</v>
      </c>
    </row>
    <row r="349" spans="1:55" ht="47.25" x14ac:dyDescent="0.25">
      <c r="A349" s="448" t="s">
        <v>1317</v>
      </c>
      <c r="B349" s="449" t="s">
        <v>1318</v>
      </c>
      <c r="C349" s="450" t="s">
        <v>1151</v>
      </c>
      <c r="D349" s="450"/>
      <c r="E349" s="450">
        <v>2020</v>
      </c>
      <c r="F349" s="450"/>
      <c r="G349" s="452"/>
      <c r="H349" s="452"/>
      <c r="I349" s="492"/>
      <c r="J349" s="492"/>
      <c r="K349" s="492"/>
      <c r="L349" s="492"/>
      <c r="M349" s="492"/>
      <c r="N349" s="492"/>
      <c r="O349" s="492"/>
      <c r="P349" s="492"/>
      <c r="Q349" s="492"/>
      <c r="R349" s="492"/>
      <c r="S349" s="492"/>
      <c r="T349" s="492"/>
      <c r="U349" s="492"/>
      <c r="V349" s="492"/>
      <c r="W349" s="492"/>
      <c r="X349" s="453"/>
      <c r="Y349" s="453"/>
      <c r="Z349" s="453"/>
      <c r="AA349" s="453"/>
      <c r="AB349" s="453"/>
      <c r="AC349" s="452"/>
      <c r="AD349" s="452"/>
      <c r="AE349" s="452"/>
      <c r="AF349" s="452"/>
      <c r="AG349" s="452"/>
      <c r="AH349" s="452"/>
      <c r="AI349" s="452"/>
      <c r="AJ349" s="454"/>
      <c r="AK349" s="454">
        <f t="shared" si="44"/>
        <v>460</v>
      </c>
      <c r="AL349" s="454">
        <f t="shared" si="45"/>
        <v>0</v>
      </c>
      <c r="AM349" s="454">
        <v>511</v>
      </c>
      <c r="AN349" s="454">
        <v>460</v>
      </c>
      <c r="AO349" s="454"/>
      <c r="AP349" s="454"/>
      <c r="AQ349" s="452"/>
      <c r="AR349" s="452">
        <v>460</v>
      </c>
      <c r="AS349" s="494">
        <v>0</v>
      </c>
      <c r="AT349" s="494">
        <v>0</v>
      </c>
      <c r="AU349" s="495"/>
      <c r="AV349" s="495"/>
      <c r="AW349" s="538"/>
      <c r="AX349" s="119"/>
      <c r="BB349" s="119">
        <v>1</v>
      </c>
      <c r="BC349" s="119">
        <v>4</v>
      </c>
    </row>
    <row r="350" spans="1:55" ht="47.25" x14ac:dyDescent="0.25">
      <c r="A350" s="448" t="s">
        <v>1319</v>
      </c>
      <c r="B350" s="449" t="s">
        <v>1320</v>
      </c>
      <c r="C350" s="450" t="s">
        <v>1151</v>
      </c>
      <c r="D350" s="450"/>
      <c r="E350" s="450">
        <v>2020</v>
      </c>
      <c r="F350" s="450"/>
      <c r="G350" s="452"/>
      <c r="H350" s="452"/>
      <c r="I350" s="492"/>
      <c r="J350" s="492"/>
      <c r="K350" s="492"/>
      <c r="L350" s="492"/>
      <c r="M350" s="492"/>
      <c r="N350" s="492"/>
      <c r="O350" s="492"/>
      <c r="P350" s="492"/>
      <c r="Q350" s="492"/>
      <c r="R350" s="492"/>
      <c r="S350" s="492"/>
      <c r="T350" s="492"/>
      <c r="U350" s="492"/>
      <c r="V350" s="492"/>
      <c r="W350" s="492"/>
      <c r="X350" s="453"/>
      <c r="Y350" s="453"/>
      <c r="Z350" s="453"/>
      <c r="AA350" s="453"/>
      <c r="AB350" s="453"/>
      <c r="AC350" s="452"/>
      <c r="AD350" s="452"/>
      <c r="AE350" s="452"/>
      <c r="AF350" s="452"/>
      <c r="AG350" s="452"/>
      <c r="AH350" s="452"/>
      <c r="AI350" s="452"/>
      <c r="AJ350" s="454"/>
      <c r="AK350" s="454">
        <f t="shared" si="44"/>
        <v>190</v>
      </c>
      <c r="AL350" s="454">
        <f t="shared" si="45"/>
        <v>0</v>
      </c>
      <c r="AM350" s="454">
        <v>211</v>
      </c>
      <c r="AN350" s="454">
        <v>190</v>
      </c>
      <c r="AO350" s="454"/>
      <c r="AP350" s="454"/>
      <c r="AQ350" s="452"/>
      <c r="AR350" s="452"/>
      <c r="AS350" s="494">
        <v>211</v>
      </c>
      <c r="AT350" s="494">
        <v>190</v>
      </c>
      <c r="AU350" s="495"/>
      <c r="AV350" s="495"/>
      <c r="AW350" s="538"/>
      <c r="AX350" s="119"/>
      <c r="BB350" s="119">
        <v>1</v>
      </c>
      <c r="BC350" s="119">
        <v>4</v>
      </c>
    </row>
    <row r="351" spans="1:55" ht="31.5" x14ac:dyDescent="0.25">
      <c r="A351" s="448" t="s">
        <v>1321</v>
      </c>
      <c r="B351" s="449" t="s">
        <v>1322</v>
      </c>
      <c r="C351" s="450" t="s">
        <v>1280</v>
      </c>
      <c r="D351" s="450"/>
      <c r="E351" s="450">
        <v>2020</v>
      </c>
      <c r="F351" s="450"/>
      <c r="G351" s="452"/>
      <c r="H351" s="452"/>
      <c r="I351" s="492"/>
      <c r="J351" s="492"/>
      <c r="K351" s="492"/>
      <c r="L351" s="492"/>
      <c r="M351" s="492"/>
      <c r="N351" s="492"/>
      <c r="O351" s="492"/>
      <c r="P351" s="492"/>
      <c r="Q351" s="492"/>
      <c r="R351" s="492"/>
      <c r="S351" s="492"/>
      <c r="T351" s="492"/>
      <c r="U351" s="492"/>
      <c r="V351" s="492"/>
      <c r="W351" s="492"/>
      <c r="X351" s="453"/>
      <c r="Y351" s="453"/>
      <c r="Z351" s="453"/>
      <c r="AA351" s="453"/>
      <c r="AB351" s="453"/>
      <c r="AC351" s="452"/>
      <c r="AD351" s="452"/>
      <c r="AE351" s="452"/>
      <c r="AF351" s="452"/>
      <c r="AG351" s="452"/>
      <c r="AH351" s="452"/>
      <c r="AI351" s="452"/>
      <c r="AJ351" s="454"/>
      <c r="AK351" s="454">
        <f t="shared" si="44"/>
        <v>1200</v>
      </c>
      <c r="AL351" s="454">
        <f t="shared" si="45"/>
        <v>0</v>
      </c>
      <c r="AM351" s="454">
        <v>1333</v>
      </c>
      <c r="AN351" s="454">
        <v>1200</v>
      </c>
      <c r="AO351" s="454"/>
      <c r="AP351" s="454"/>
      <c r="AQ351" s="452"/>
      <c r="AR351" s="452"/>
      <c r="AS351" s="494">
        <v>1333</v>
      </c>
      <c r="AT351" s="494">
        <v>1200</v>
      </c>
      <c r="AU351" s="495"/>
      <c r="AV351" s="495"/>
      <c r="AW351" s="538"/>
      <c r="AX351" s="119"/>
      <c r="BB351" s="119">
        <v>1</v>
      </c>
      <c r="BC351" s="119">
        <v>4</v>
      </c>
    </row>
    <row r="352" spans="1:55" ht="47.25" x14ac:dyDescent="0.25">
      <c r="A352" s="448" t="s">
        <v>1323</v>
      </c>
      <c r="B352" s="449" t="s">
        <v>1324</v>
      </c>
      <c r="C352" s="450" t="s">
        <v>1139</v>
      </c>
      <c r="D352" s="450"/>
      <c r="E352" s="450">
        <v>2020</v>
      </c>
      <c r="F352" s="450"/>
      <c r="G352" s="452"/>
      <c r="H352" s="452"/>
      <c r="I352" s="492"/>
      <c r="J352" s="492"/>
      <c r="K352" s="492"/>
      <c r="L352" s="492"/>
      <c r="M352" s="492"/>
      <c r="N352" s="492"/>
      <c r="O352" s="492"/>
      <c r="P352" s="492"/>
      <c r="Q352" s="492"/>
      <c r="R352" s="492"/>
      <c r="S352" s="492"/>
      <c r="T352" s="492"/>
      <c r="U352" s="492"/>
      <c r="V352" s="492"/>
      <c r="W352" s="492"/>
      <c r="X352" s="453"/>
      <c r="Y352" s="453"/>
      <c r="Z352" s="453"/>
      <c r="AA352" s="453"/>
      <c r="AB352" s="453"/>
      <c r="AC352" s="452"/>
      <c r="AD352" s="452"/>
      <c r="AE352" s="452"/>
      <c r="AF352" s="452"/>
      <c r="AG352" s="452"/>
      <c r="AH352" s="452"/>
      <c r="AI352" s="452"/>
      <c r="AJ352" s="454"/>
      <c r="AK352" s="454">
        <f t="shared" si="44"/>
        <v>504</v>
      </c>
      <c r="AL352" s="454">
        <f t="shared" si="45"/>
        <v>0</v>
      </c>
      <c r="AM352" s="454">
        <v>560</v>
      </c>
      <c r="AN352" s="454">
        <v>504</v>
      </c>
      <c r="AO352" s="454"/>
      <c r="AP352" s="454"/>
      <c r="AQ352" s="452"/>
      <c r="AR352" s="452">
        <v>504</v>
      </c>
      <c r="AS352" s="494">
        <v>0</v>
      </c>
      <c r="AT352" s="494">
        <v>0</v>
      </c>
      <c r="AU352" s="495"/>
      <c r="AV352" s="495"/>
      <c r="AW352" s="538"/>
      <c r="AX352" s="119"/>
      <c r="BB352" s="119">
        <v>1</v>
      </c>
      <c r="BC352" s="119">
        <v>4</v>
      </c>
    </row>
    <row r="353" spans="1:55" s="14" customFormat="1" ht="47.25" x14ac:dyDescent="0.25">
      <c r="A353" s="448" t="s">
        <v>1325</v>
      </c>
      <c r="B353" s="449" t="s">
        <v>1326</v>
      </c>
      <c r="C353" s="450" t="s">
        <v>1139</v>
      </c>
      <c r="D353" s="450"/>
      <c r="E353" s="450">
        <v>2020</v>
      </c>
      <c r="F353" s="450"/>
      <c r="G353" s="452"/>
      <c r="H353" s="452"/>
      <c r="I353" s="492"/>
      <c r="J353" s="492"/>
      <c r="K353" s="492"/>
      <c r="L353" s="492"/>
      <c r="M353" s="492"/>
      <c r="N353" s="492"/>
      <c r="O353" s="492"/>
      <c r="P353" s="492"/>
      <c r="Q353" s="492"/>
      <c r="R353" s="492"/>
      <c r="S353" s="492"/>
      <c r="T353" s="492"/>
      <c r="U353" s="492"/>
      <c r="V353" s="492"/>
      <c r="W353" s="492"/>
      <c r="X353" s="453"/>
      <c r="Y353" s="453"/>
      <c r="Z353" s="453"/>
      <c r="AA353" s="453"/>
      <c r="AB353" s="453"/>
      <c r="AC353" s="452"/>
      <c r="AD353" s="452"/>
      <c r="AE353" s="452"/>
      <c r="AF353" s="452"/>
      <c r="AG353" s="452"/>
      <c r="AH353" s="452"/>
      <c r="AI353" s="452"/>
      <c r="AJ353" s="454"/>
      <c r="AK353" s="454">
        <f t="shared" si="44"/>
        <v>504</v>
      </c>
      <c r="AL353" s="454">
        <f t="shared" si="45"/>
        <v>0</v>
      </c>
      <c r="AM353" s="454">
        <v>560</v>
      </c>
      <c r="AN353" s="454">
        <v>504</v>
      </c>
      <c r="AO353" s="454"/>
      <c r="AP353" s="454"/>
      <c r="AQ353" s="452"/>
      <c r="AR353" s="452"/>
      <c r="AS353" s="494">
        <v>560</v>
      </c>
      <c r="AT353" s="494">
        <v>504</v>
      </c>
      <c r="AU353" s="54"/>
      <c r="AV353" s="54"/>
      <c r="AW353" s="141"/>
    </row>
    <row r="354" spans="1:55" s="479" customFormat="1" ht="47.25" x14ac:dyDescent="0.25">
      <c r="A354" s="448" t="s">
        <v>1327</v>
      </c>
      <c r="B354" s="449" t="s">
        <v>1328</v>
      </c>
      <c r="C354" s="450" t="s">
        <v>1139</v>
      </c>
      <c r="D354" s="450"/>
      <c r="E354" s="450">
        <v>2020</v>
      </c>
      <c r="F354" s="450"/>
      <c r="G354" s="452"/>
      <c r="H354" s="452"/>
      <c r="I354" s="492"/>
      <c r="J354" s="492"/>
      <c r="K354" s="492"/>
      <c r="L354" s="492"/>
      <c r="M354" s="492"/>
      <c r="N354" s="492"/>
      <c r="O354" s="492"/>
      <c r="P354" s="492"/>
      <c r="Q354" s="492"/>
      <c r="R354" s="492"/>
      <c r="S354" s="492"/>
      <c r="T354" s="492"/>
      <c r="U354" s="492"/>
      <c r="V354" s="492"/>
      <c r="W354" s="492"/>
      <c r="X354" s="453"/>
      <c r="Y354" s="453"/>
      <c r="Z354" s="453"/>
      <c r="AA354" s="453"/>
      <c r="AB354" s="453"/>
      <c r="AC354" s="452"/>
      <c r="AD354" s="452"/>
      <c r="AE354" s="452"/>
      <c r="AF354" s="452"/>
      <c r="AG354" s="452"/>
      <c r="AH354" s="452"/>
      <c r="AI354" s="452"/>
      <c r="AJ354" s="454"/>
      <c r="AK354" s="454">
        <f t="shared" si="44"/>
        <v>180</v>
      </c>
      <c r="AL354" s="454">
        <f t="shared" si="45"/>
        <v>0</v>
      </c>
      <c r="AM354" s="454">
        <v>200</v>
      </c>
      <c r="AN354" s="454">
        <v>180</v>
      </c>
      <c r="AO354" s="454"/>
      <c r="AP354" s="454"/>
      <c r="AQ354" s="452"/>
      <c r="AR354" s="452"/>
      <c r="AS354" s="494">
        <v>200</v>
      </c>
      <c r="AT354" s="494">
        <v>180</v>
      </c>
      <c r="AU354" s="478"/>
      <c r="AV354" s="478"/>
      <c r="AW354" s="510"/>
      <c r="BB354" s="479">
        <v>1</v>
      </c>
      <c r="BC354" s="479" t="s">
        <v>733</v>
      </c>
    </row>
    <row r="355" spans="1:55" s="479" customFormat="1" ht="31.5" x14ac:dyDescent="0.25">
      <c r="A355" s="448" t="s">
        <v>1329</v>
      </c>
      <c r="B355" s="449" t="s">
        <v>1330</v>
      </c>
      <c r="C355" s="450" t="s">
        <v>1139</v>
      </c>
      <c r="D355" s="450"/>
      <c r="E355" s="450">
        <v>2020</v>
      </c>
      <c r="F355" s="450"/>
      <c r="G355" s="452"/>
      <c r="H355" s="452"/>
      <c r="I355" s="492"/>
      <c r="J355" s="492"/>
      <c r="K355" s="492"/>
      <c r="L355" s="492"/>
      <c r="M355" s="492"/>
      <c r="N355" s="492"/>
      <c r="O355" s="492"/>
      <c r="P355" s="492"/>
      <c r="Q355" s="492"/>
      <c r="R355" s="492"/>
      <c r="S355" s="492"/>
      <c r="T355" s="492"/>
      <c r="U355" s="492"/>
      <c r="V355" s="492"/>
      <c r="W355" s="492"/>
      <c r="X355" s="453"/>
      <c r="Y355" s="453"/>
      <c r="Z355" s="453"/>
      <c r="AA355" s="453"/>
      <c r="AB355" s="453"/>
      <c r="AC355" s="452"/>
      <c r="AD355" s="452"/>
      <c r="AE355" s="452"/>
      <c r="AF355" s="452"/>
      <c r="AG355" s="452"/>
      <c r="AH355" s="452"/>
      <c r="AI355" s="452"/>
      <c r="AJ355" s="454"/>
      <c r="AK355" s="454">
        <f t="shared" si="44"/>
        <v>123</v>
      </c>
      <c r="AL355" s="454">
        <f t="shared" si="45"/>
        <v>0</v>
      </c>
      <c r="AM355" s="454">
        <v>137</v>
      </c>
      <c r="AN355" s="454">
        <v>123</v>
      </c>
      <c r="AO355" s="454"/>
      <c r="AP355" s="454"/>
      <c r="AQ355" s="452"/>
      <c r="AR355" s="452"/>
      <c r="AS355" s="494">
        <v>137</v>
      </c>
      <c r="AT355" s="494">
        <v>123</v>
      </c>
      <c r="AU355" s="509">
        <v>0</v>
      </c>
      <c r="AV355" s="509">
        <v>0</v>
      </c>
      <c r="AW355" s="510"/>
    </row>
    <row r="356" spans="1:55" ht="47.25" x14ac:dyDescent="0.25">
      <c r="A356" s="448" t="s">
        <v>1331</v>
      </c>
      <c r="B356" s="533" t="s">
        <v>1332</v>
      </c>
      <c r="C356" s="450" t="s">
        <v>1124</v>
      </c>
      <c r="D356" s="450"/>
      <c r="E356" s="450">
        <v>2020</v>
      </c>
      <c r="F356" s="450"/>
      <c r="G356" s="452"/>
      <c r="H356" s="452"/>
      <c r="I356" s="492"/>
      <c r="J356" s="492"/>
      <c r="K356" s="492"/>
      <c r="L356" s="492"/>
      <c r="M356" s="492"/>
      <c r="N356" s="492"/>
      <c r="O356" s="492"/>
      <c r="P356" s="492"/>
      <c r="Q356" s="492"/>
      <c r="R356" s="492"/>
      <c r="S356" s="492"/>
      <c r="T356" s="492"/>
      <c r="U356" s="492"/>
      <c r="V356" s="492"/>
      <c r="W356" s="492"/>
      <c r="X356" s="453"/>
      <c r="Y356" s="453"/>
      <c r="Z356" s="453"/>
      <c r="AA356" s="453"/>
      <c r="AB356" s="453"/>
      <c r="AC356" s="452"/>
      <c r="AD356" s="452"/>
      <c r="AE356" s="452"/>
      <c r="AF356" s="452"/>
      <c r="AG356" s="452"/>
      <c r="AH356" s="452"/>
      <c r="AI356" s="452"/>
      <c r="AJ356" s="454"/>
      <c r="AK356" s="454">
        <f t="shared" si="44"/>
        <v>1200</v>
      </c>
      <c r="AL356" s="454">
        <f t="shared" si="45"/>
        <v>0</v>
      </c>
      <c r="AM356" s="454">
        <v>1200</v>
      </c>
      <c r="AN356" s="454">
        <v>1200</v>
      </c>
      <c r="AO356" s="454"/>
      <c r="AP356" s="454"/>
      <c r="AQ356" s="452"/>
      <c r="AR356" s="452"/>
      <c r="AS356" s="494">
        <v>1333</v>
      </c>
      <c r="AT356" s="494">
        <v>1200</v>
      </c>
      <c r="AU356" s="495"/>
      <c r="AV356" s="495"/>
      <c r="AW356" s="147"/>
      <c r="AX356" s="119"/>
      <c r="BB356" s="119">
        <v>1</v>
      </c>
      <c r="BC356" s="119">
        <v>6</v>
      </c>
    </row>
    <row r="357" spans="1:55" ht="31.5" x14ac:dyDescent="0.25">
      <c r="A357" s="448" t="s">
        <v>1333</v>
      </c>
      <c r="B357" s="449" t="s">
        <v>1334</v>
      </c>
      <c r="C357" s="450" t="s">
        <v>1155</v>
      </c>
      <c r="D357" s="450"/>
      <c r="E357" s="450">
        <v>2020</v>
      </c>
      <c r="F357" s="450"/>
      <c r="G357" s="452"/>
      <c r="H357" s="452"/>
      <c r="I357" s="492"/>
      <c r="J357" s="492"/>
      <c r="K357" s="492"/>
      <c r="L357" s="492"/>
      <c r="M357" s="492"/>
      <c r="N357" s="492"/>
      <c r="O357" s="492"/>
      <c r="P357" s="492"/>
      <c r="Q357" s="492"/>
      <c r="R357" s="492"/>
      <c r="S357" s="492"/>
      <c r="T357" s="492"/>
      <c r="U357" s="492"/>
      <c r="V357" s="492"/>
      <c r="W357" s="492"/>
      <c r="X357" s="453"/>
      <c r="Y357" s="453"/>
      <c r="Z357" s="453"/>
      <c r="AA357" s="453"/>
      <c r="AB357" s="453"/>
      <c r="AC357" s="452"/>
      <c r="AD357" s="452"/>
      <c r="AE357" s="452"/>
      <c r="AF357" s="452"/>
      <c r="AG357" s="452"/>
      <c r="AH357" s="452"/>
      <c r="AI357" s="452"/>
      <c r="AJ357" s="454"/>
      <c r="AK357" s="454">
        <f t="shared" si="44"/>
        <v>2500</v>
      </c>
      <c r="AL357" s="454">
        <f t="shared" si="45"/>
        <v>0</v>
      </c>
      <c r="AM357" s="454">
        <v>2778</v>
      </c>
      <c r="AN357" s="454">
        <v>2500</v>
      </c>
      <c r="AO357" s="454"/>
      <c r="AP357" s="454"/>
      <c r="AQ357" s="452"/>
      <c r="AR357" s="452"/>
      <c r="AS357" s="494">
        <v>2778</v>
      </c>
      <c r="AT357" s="494">
        <v>2500</v>
      </c>
      <c r="AU357" s="495"/>
      <c r="AV357" s="495"/>
      <c r="AW357" s="147"/>
      <c r="AX357" s="119"/>
      <c r="BB357" s="119">
        <v>1</v>
      </c>
      <c r="BC357" s="119">
        <v>6</v>
      </c>
    </row>
    <row r="358" spans="1:55" ht="63" x14ac:dyDescent="0.25">
      <c r="A358" s="448" t="s">
        <v>1335</v>
      </c>
      <c r="B358" s="449" t="s">
        <v>1336</v>
      </c>
      <c r="C358" s="450" t="s">
        <v>1116</v>
      </c>
      <c r="D358" s="450"/>
      <c r="E358" s="450">
        <v>2020</v>
      </c>
      <c r="F358" s="450"/>
      <c r="G358" s="452"/>
      <c r="H358" s="452"/>
      <c r="I358" s="492"/>
      <c r="J358" s="492"/>
      <c r="K358" s="492"/>
      <c r="L358" s="492"/>
      <c r="M358" s="492"/>
      <c r="N358" s="492"/>
      <c r="O358" s="492"/>
      <c r="P358" s="492"/>
      <c r="Q358" s="492"/>
      <c r="R358" s="492"/>
      <c r="S358" s="492"/>
      <c r="T358" s="492"/>
      <c r="U358" s="492"/>
      <c r="V358" s="492"/>
      <c r="W358" s="492"/>
      <c r="X358" s="453"/>
      <c r="Y358" s="453"/>
      <c r="Z358" s="453"/>
      <c r="AA358" s="453"/>
      <c r="AB358" s="453"/>
      <c r="AC358" s="452"/>
      <c r="AD358" s="452"/>
      <c r="AE358" s="452"/>
      <c r="AF358" s="452"/>
      <c r="AG358" s="452"/>
      <c r="AH358" s="452"/>
      <c r="AI358" s="452"/>
      <c r="AJ358" s="454"/>
      <c r="AK358" s="454">
        <f t="shared" si="44"/>
        <v>6300</v>
      </c>
      <c r="AL358" s="454">
        <f t="shared" si="45"/>
        <v>0</v>
      </c>
      <c r="AM358" s="454">
        <v>7000</v>
      </c>
      <c r="AN358" s="454">
        <v>6300</v>
      </c>
      <c r="AO358" s="454"/>
      <c r="AP358" s="454"/>
      <c r="AQ358" s="452"/>
      <c r="AR358" s="452"/>
      <c r="AS358" s="494">
        <v>7000</v>
      </c>
      <c r="AT358" s="494">
        <v>6300</v>
      </c>
      <c r="AU358" s="495"/>
      <c r="AV358" s="495"/>
      <c r="AW358" s="147"/>
      <c r="AX358" s="119"/>
      <c r="BB358" s="119">
        <v>1</v>
      </c>
      <c r="BC358" s="119">
        <v>6</v>
      </c>
    </row>
    <row r="359" spans="1:55" ht="34.5" customHeight="1" x14ac:dyDescent="0.25">
      <c r="A359" s="522" t="s">
        <v>913</v>
      </c>
      <c r="B359" s="539" t="s">
        <v>914</v>
      </c>
      <c r="C359" s="450"/>
      <c r="D359" s="450"/>
      <c r="E359" s="450"/>
      <c r="F359" s="450"/>
      <c r="G359" s="452"/>
      <c r="H359" s="452"/>
      <c r="I359" s="492"/>
      <c r="J359" s="492"/>
      <c r="K359" s="492"/>
      <c r="L359" s="492"/>
      <c r="M359" s="492"/>
      <c r="N359" s="492"/>
      <c r="O359" s="492"/>
      <c r="P359" s="492"/>
      <c r="Q359" s="492"/>
      <c r="R359" s="492"/>
      <c r="S359" s="492"/>
      <c r="T359" s="492"/>
      <c r="U359" s="492"/>
      <c r="V359" s="492"/>
      <c r="W359" s="492"/>
      <c r="X359" s="453"/>
      <c r="Y359" s="453"/>
      <c r="Z359" s="453"/>
      <c r="AA359" s="453"/>
      <c r="AB359" s="453"/>
      <c r="AC359" s="452"/>
      <c r="AD359" s="452"/>
      <c r="AE359" s="452"/>
      <c r="AF359" s="452"/>
      <c r="AG359" s="452"/>
      <c r="AH359" s="452"/>
      <c r="AI359" s="452"/>
      <c r="AJ359" s="454"/>
      <c r="AK359" s="454"/>
      <c r="AL359" s="454"/>
      <c r="AM359" s="454"/>
      <c r="AN359" s="454"/>
      <c r="AO359" s="454"/>
      <c r="AP359" s="454"/>
      <c r="AQ359" s="503"/>
      <c r="AR359" s="452"/>
      <c r="AS359" s="503"/>
      <c r="AT359" s="503"/>
      <c r="AU359" s="495"/>
      <c r="AV359" s="495"/>
      <c r="AW359" s="147"/>
      <c r="AX359" s="119"/>
      <c r="BB359" s="119">
        <v>1</v>
      </c>
      <c r="BC359" s="119">
        <v>6</v>
      </c>
    </row>
    <row r="360" spans="1:55" ht="45" customHeight="1" x14ac:dyDescent="0.25">
      <c r="A360" s="448">
        <v>1</v>
      </c>
      <c r="B360" s="533" t="s">
        <v>1337</v>
      </c>
      <c r="C360" s="450"/>
      <c r="D360" s="450"/>
      <c r="E360" s="450"/>
      <c r="F360" s="450"/>
      <c r="G360" s="452"/>
      <c r="H360" s="452"/>
      <c r="I360" s="492"/>
      <c r="J360" s="492"/>
      <c r="K360" s="492"/>
      <c r="L360" s="492"/>
      <c r="M360" s="492"/>
      <c r="N360" s="492"/>
      <c r="O360" s="492"/>
      <c r="P360" s="492"/>
      <c r="Q360" s="492"/>
      <c r="R360" s="492"/>
      <c r="S360" s="492"/>
      <c r="T360" s="492"/>
      <c r="U360" s="492"/>
      <c r="V360" s="492"/>
      <c r="W360" s="492"/>
      <c r="X360" s="453"/>
      <c r="Y360" s="453"/>
      <c r="Z360" s="453"/>
      <c r="AA360" s="453"/>
      <c r="AB360" s="453"/>
      <c r="AC360" s="452"/>
      <c r="AD360" s="452"/>
      <c r="AE360" s="452"/>
      <c r="AF360" s="452"/>
      <c r="AG360" s="452"/>
      <c r="AH360" s="452"/>
      <c r="AI360" s="452"/>
      <c r="AJ360" s="454"/>
      <c r="AK360" s="454"/>
      <c r="AL360" s="454"/>
      <c r="AM360" s="454"/>
      <c r="AN360" s="454"/>
      <c r="AO360" s="454"/>
      <c r="AP360" s="454"/>
      <c r="AQ360" s="506">
        <v>600</v>
      </c>
      <c r="AR360" s="452"/>
      <c r="AS360" s="506">
        <v>600</v>
      </c>
      <c r="AT360" s="506">
        <v>600</v>
      </c>
      <c r="AU360" s="495"/>
      <c r="AV360" s="495"/>
      <c r="AW360" s="147"/>
      <c r="AX360" s="119"/>
      <c r="BB360" s="119">
        <v>1</v>
      </c>
      <c r="BC360" s="119">
        <v>2</v>
      </c>
    </row>
    <row r="361" spans="1:55" ht="42.75" customHeight="1" x14ac:dyDescent="0.25">
      <c r="A361" s="448">
        <v>2</v>
      </c>
      <c r="B361" s="533" t="s">
        <v>1338</v>
      </c>
      <c r="C361" s="450"/>
      <c r="D361" s="450"/>
      <c r="E361" s="450"/>
      <c r="F361" s="450"/>
      <c r="G361" s="452"/>
      <c r="H361" s="452"/>
      <c r="I361" s="492"/>
      <c r="J361" s="492"/>
      <c r="K361" s="492"/>
      <c r="L361" s="492"/>
      <c r="M361" s="492"/>
      <c r="N361" s="492"/>
      <c r="O361" s="492"/>
      <c r="P361" s="492"/>
      <c r="Q361" s="492"/>
      <c r="R361" s="492"/>
      <c r="S361" s="492"/>
      <c r="T361" s="492"/>
      <c r="U361" s="492"/>
      <c r="V361" s="492"/>
      <c r="W361" s="492"/>
      <c r="X361" s="453"/>
      <c r="Y361" s="453"/>
      <c r="Z361" s="453"/>
      <c r="AA361" s="453"/>
      <c r="AB361" s="453"/>
      <c r="AC361" s="452"/>
      <c r="AD361" s="452"/>
      <c r="AE361" s="452"/>
      <c r="AF361" s="452"/>
      <c r="AG361" s="452"/>
      <c r="AH361" s="452"/>
      <c r="AI361" s="452"/>
      <c r="AJ361" s="454"/>
      <c r="AK361" s="454"/>
      <c r="AL361" s="454"/>
      <c r="AM361" s="454"/>
      <c r="AN361" s="454"/>
      <c r="AO361" s="454"/>
      <c r="AP361" s="454"/>
      <c r="AQ361" s="506">
        <v>400</v>
      </c>
      <c r="AR361" s="452"/>
      <c r="AS361" s="506">
        <v>400</v>
      </c>
      <c r="AT361" s="506">
        <v>400</v>
      </c>
      <c r="AU361" s="495"/>
      <c r="AV361" s="495"/>
      <c r="AW361" s="147"/>
      <c r="AX361" s="119"/>
      <c r="BB361" s="119">
        <v>1</v>
      </c>
      <c r="BC361" s="119">
        <v>2</v>
      </c>
    </row>
    <row r="362" spans="1:55" ht="45" customHeight="1" x14ac:dyDescent="0.25">
      <c r="A362" s="448">
        <v>3</v>
      </c>
      <c r="B362" s="533" t="s">
        <v>1339</v>
      </c>
      <c r="C362" s="450"/>
      <c r="D362" s="450"/>
      <c r="E362" s="450"/>
      <c r="F362" s="450"/>
      <c r="G362" s="452"/>
      <c r="H362" s="452"/>
      <c r="I362" s="492"/>
      <c r="J362" s="492"/>
      <c r="K362" s="492"/>
      <c r="L362" s="492"/>
      <c r="M362" s="492"/>
      <c r="N362" s="492"/>
      <c r="O362" s="492"/>
      <c r="P362" s="492"/>
      <c r="Q362" s="492"/>
      <c r="R362" s="492"/>
      <c r="S362" s="492"/>
      <c r="T362" s="492"/>
      <c r="U362" s="492"/>
      <c r="V362" s="492"/>
      <c r="W362" s="492"/>
      <c r="X362" s="453"/>
      <c r="Y362" s="453"/>
      <c r="Z362" s="453"/>
      <c r="AA362" s="453"/>
      <c r="AB362" s="453"/>
      <c r="AC362" s="452"/>
      <c r="AD362" s="452"/>
      <c r="AE362" s="452"/>
      <c r="AF362" s="452"/>
      <c r="AG362" s="452"/>
      <c r="AH362" s="452"/>
      <c r="AI362" s="452"/>
      <c r="AJ362" s="454"/>
      <c r="AK362" s="454"/>
      <c r="AL362" s="454"/>
      <c r="AM362" s="454"/>
      <c r="AN362" s="454"/>
      <c r="AO362" s="454"/>
      <c r="AP362" s="454"/>
      <c r="AQ362" s="506">
        <v>1700</v>
      </c>
      <c r="AR362" s="452"/>
      <c r="AS362" s="506">
        <v>1700</v>
      </c>
      <c r="AT362" s="506">
        <v>1700</v>
      </c>
      <c r="AU362" s="495"/>
      <c r="AV362" s="495"/>
      <c r="AW362" s="147"/>
      <c r="AX362" s="119"/>
      <c r="BB362" s="119">
        <v>1</v>
      </c>
      <c r="BC362" s="119">
        <v>2</v>
      </c>
    </row>
    <row r="363" spans="1:55" ht="47.25" x14ac:dyDescent="0.25">
      <c r="A363" s="448">
        <v>4</v>
      </c>
      <c r="B363" s="533" t="s">
        <v>1340</v>
      </c>
      <c r="C363" s="450"/>
      <c r="D363" s="450"/>
      <c r="E363" s="450"/>
      <c r="F363" s="450"/>
      <c r="G363" s="452"/>
      <c r="H363" s="452"/>
      <c r="I363" s="492"/>
      <c r="J363" s="492"/>
      <c r="K363" s="492"/>
      <c r="L363" s="492"/>
      <c r="M363" s="492"/>
      <c r="N363" s="492"/>
      <c r="O363" s="492"/>
      <c r="P363" s="492"/>
      <c r="Q363" s="492"/>
      <c r="R363" s="492"/>
      <c r="S363" s="492"/>
      <c r="T363" s="492"/>
      <c r="U363" s="492"/>
      <c r="V363" s="492"/>
      <c r="W363" s="492"/>
      <c r="X363" s="453"/>
      <c r="Y363" s="453"/>
      <c r="Z363" s="453"/>
      <c r="AA363" s="453"/>
      <c r="AB363" s="453"/>
      <c r="AC363" s="452"/>
      <c r="AD363" s="452"/>
      <c r="AE363" s="452"/>
      <c r="AF363" s="452"/>
      <c r="AG363" s="452"/>
      <c r="AH363" s="452"/>
      <c r="AI363" s="452"/>
      <c r="AJ363" s="454"/>
      <c r="AK363" s="454"/>
      <c r="AL363" s="454"/>
      <c r="AM363" s="454"/>
      <c r="AN363" s="454"/>
      <c r="AO363" s="454"/>
      <c r="AP363" s="454"/>
      <c r="AQ363" s="506">
        <v>870</v>
      </c>
      <c r="AR363" s="452"/>
      <c r="AS363" s="506">
        <v>870</v>
      </c>
      <c r="AT363" s="506">
        <v>870</v>
      </c>
      <c r="AU363" s="495"/>
      <c r="AV363" s="495"/>
      <c r="AW363" s="147"/>
      <c r="AX363" s="119"/>
      <c r="BB363" s="119">
        <v>1</v>
      </c>
      <c r="BC363" s="119">
        <v>2</v>
      </c>
    </row>
    <row r="364" spans="1:55" ht="43.5" customHeight="1" x14ac:dyDescent="0.25">
      <c r="A364" s="448">
        <v>5</v>
      </c>
      <c r="B364" s="533" t="s">
        <v>1341</v>
      </c>
      <c r="C364" s="450"/>
      <c r="D364" s="450"/>
      <c r="E364" s="450"/>
      <c r="F364" s="450"/>
      <c r="G364" s="452"/>
      <c r="H364" s="452"/>
      <c r="I364" s="492"/>
      <c r="J364" s="492"/>
      <c r="K364" s="492"/>
      <c r="L364" s="492"/>
      <c r="M364" s="492"/>
      <c r="N364" s="492"/>
      <c r="O364" s="492"/>
      <c r="P364" s="492"/>
      <c r="Q364" s="492"/>
      <c r="R364" s="492"/>
      <c r="S364" s="492"/>
      <c r="T364" s="492"/>
      <c r="U364" s="492"/>
      <c r="V364" s="492"/>
      <c r="W364" s="492"/>
      <c r="X364" s="453"/>
      <c r="Y364" s="453"/>
      <c r="Z364" s="453"/>
      <c r="AA364" s="453"/>
      <c r="AB364" s="453"/>
      <c r="AC364" s="452"/>
      <c r="AD364" s="452"/>
      <c r="AE364" s="452"/>
      <c r="AF364" s="452"/>
      <c r="AG364" s="452"/>
      <c r="AH364" s="452"/>
      <c r="AI364" s="452"/>
      <c r="AJ364" s="454"/>
      <c r="AK364" s="454"/>
      <c r="AL364" s="454"/>
      <c r="AM364" s="454"/>
      <c r="AN364" s="454"/>
      <c r="AO364" s="454"/>
      <c r="AP364" s="454"/>
      <c r="AQ364" s="506">
        <v>1700</v>
      </c>
      <c r="AR364" s="452"/>
      <c r="AS364" s="506">
        <v>1700</v>
      </c>
      <c r="AT364" s="506">
        <v>1700</v>
      </c>
      <c r="AU364" s="495"/>
      <c r="AV364" s="495"/>
      <c r="AW364" s="147"/>
      <c r="AX364" s="119"/>
      <c r="BB364" s="119">
        <v>1</v>
      </c>
      <c r="BC364" s="119">
        <v>2</v>
      </c>
    </row>
    <row r="365" spans="1:55" ht="47.25" x14ac:dyDescent="0.25">
      <c r="A365" s="448">
        <v>6</v>
      </c>
      <c r="B365" s="533" t="s">
        <v>1342</v>
      </c>
      <c r="C365" s="450"/>
      <c r="D365" s="450"/>
      <c r="E365" s="450"/>
      <c r="F365" s="450"/>
      <c r="G365" s="452"/>
      <c r="H365" s="452"/>
      <c r="I365" s="492"/>
      <c r="J365" s="492"/>
      <c r="K365" s="492"/>
      <c r="L365" s="492"/>
      <c r="M365" s="492"/>
      <c r="N365" s="492"/>
      <c r="O365" s="492"/>
      <c r="P365" s="492"/>
      <c r="Q365" s="492"/>
      <c r="R365" s="492"/>
      <c r="S365" s="492"/>
      <c r="T365" s="492"/>
      <c r="U365" s="492"/>
      <c r="V365" s="492"/>
      <c r="W365" s="492"/>
      <c r="X365" s="453"/>
      <c r="Y365" s="453"/>
      <c r="Z365" s="453"/>
      <c r="AA365" s="453"/>
      <c r="AB365" s="453"/>
      <c r="AC365" s="452"/>
      <c r="AD365" s="452"/>
      <c r="AE365" s="452"/>
      <c r="AF365" s="452"/>
      <c r="AG365" s="452"/>
      <c r="AH365" s="452"/>
      <c r="AI365" s="452"/>
      <c r="AJ365" s="454"/>
      <c r="AK365" s="454"/>
      <c r="AL365" s="454"/>
      <c r="AM365" s="454"/>
      <c r="AN365" s="454"/>
      <c r="AO365" s="454"/>
      <c r="AP365" s="454"/>
      <c r="AQ365" s="506">
        <v>120</v>
      </c>
      <c r="AR365" s="452"/>
      <c r="AS365" s="506">
        <v>120</v>
      </c>
      <c r="AT365" s="506">
        <v>120</v>
      </c>
      <c r="AU365" s="495"/>
      <c r="AV365" s="495"/>
      <c r="AW365" s="10"/>
      <c r="AX365" s="119"/>
      <c r="BB365" s="119">
        <v>1</v>
      </c>
      <c r="BC365" s="119">
        <v>2</v>
      </c>
    </row>
    <row r="366" spans="1:55" ht="36.75" customHeight="1" x14ac:dyDescent="0.25">
      <c r="A366" s="448">
        <v>7</v>
      </c>
      <c r="B366" s="533" t="s">
        <v>1343</v>
      </c>
      <c r="C366" s="450"/>
      <c r="D366" s="450"/>
      <c r="E366" s="450"/>
      <c r="F366" s="450"/>
      <c r="G366" s="452"/>
      <c r="H366" s="452"/>
      <c r="I366" s="492"/>
      <c r="J366" s="492"/>
      <c r="K366" s="492"/>
      <c r="L366" s="492"/>
      <c r="M366" s="492"/>
      <c r="N366" s="492"/>
      <c r="O366" s="492"/>
      <c r="P366" s="492"/>
      <c r="Q366" s="492"/>
      <c r="R366" s="492"/>
      <c r="S366" s="492"/>
      <c r="T366" s="492"/>
      <c r="U366" s="492"/>
      <c r="V366" s="492"/>
      <c r="W366" s="492"/>
      <c r="X366" s="453"/>
      <c r="Y366" s="453"/>
      <c r="Z366" s="453"/>
      <c r="AA366" s="453"/>
      <c r="AB366" s="453"/>
      <c r="AC366" s="452"/>
      <c r="AD366" s="452"/>
      <c r="AE366" s="452"/>
      <c r="AF366" s="452"/>
      <c r="AG366" s="452"/>
      <c r="AH366" s="452"/>
      <c r="AI366" s="452"/>
      <c r="AJ366" s="454"/>
      <c r="AK366" s="454"/>
      <c r="AL366" s="454"/>
      <c r="AM366" s="454"/>
      <c r="AN366" s="454"/>
      <c r="AO366" s="454"/>
      <c r="AP366" s="454"/>
      <c r="AQ366" s="506">
        <v>460</v>
      </c>
      <c r="AR366" s="452"/>
      <c r="AS366" s="506">
        <v>460</v>
      </c>
      <c r="AT366" s="506">
        <v>460</v>
      </c>
      <c r="AU366" s="495"/>
      <c r="AV366" s="495"/>
      <c r="AW366" s="10"/>
      <c r="AX366" s="119"/>
      <c r="BB366" s="119">
        <v>1</v>
      </c>
      <c r="BC366" s="119">
        <v>2</v>
      </c>
    </row>
    <row r="367" spans="1:55" ht="31.5" x14ac:dyDescent="0.25">
      <c r="A367" s="448" t="s">
        <v>717</v>
      </c>
      <c r="B367" s="533" t="s">
        <v>1344</v>
      </c>
      <c r="C367" s="450"/>
      <c r="D367" s="450"/>
      <c r="E367" s="450"/>
      <c r="F367" s="450"/>
      <c r="G367" s="452"/>
      <c r="H367" s="452"/>
      <c r="I367" s="492"/>
      <c r="J367" s="492"/>
      <c r="K367" s="492"/>
      <c r="L367" s="492"/>
      <c r="M367" s="492"/>
      <c r="N367" s="492"/>
      <c r="O367" s="492"/>
      <c r="P367" s="492"/>
      <c r="Q367" s="492"/>
      <c r="R367" s="492"/>
      <c r="S367" s="492"/>
      <c r="T367" s="492"/>
      <c r="U367" s="492"/>
      <c r="V367" s="492"/>
      <c r="W367" s="492"/>
      <c r="X367" s="453"/>
      <c r="Y367" s="453"/>
      <c r="Z367" s="453"/>
      <c r="AA367" s="453"/>
      <c r="AB367" s="453"/>
      <c r="AC367" s="452"/>
      <c r="AD367" s="452"/>
      <c r="AE367" s="452"/>
      <c r="AF367" s="452"/>
      <c r="AG367" s="452"/>
      <c r="AH367" s="452"/>
      <c r="AI367" s="452"/>
      <c r="AJ367" s="454"/>
      <c r="AK367" s="454"/>
      <c r="AL367" s="454"/>
      <c r="AM367" s="454"/>
      <c r="AN367" s="454"/>
      <c r="AO367" s="454"/>
      <c r="AP367" s="454"/>
      <c r="AQ367" s="506">
        <v>504</v>
      </c>
      <c r="AR367" s="452"/>
      <c r="AS367" s="506">
        <v>504</v>
      </c>
      <c r="AT367" s="506">
        <v>504</v>
      </c>
      <c r="AU367" s="495"/>
      <c r="AV367" s="495"/>
      <c r="AW367" s="10"/>
      <c r="AX367" s="119"/>
      <c r="BB367" s="119">
        <v>1</v>
      </c>
      <c r="BC367" s="119">
        <v>2</v>
      </c>
    </row>
    <row r="368" spans="1:55" ht="31.5" x14ac:dyDescent="0.25">
      <c r="A368" s="448" t="s">
        <v>721</v>
      </c>
      <c r="B368" s="533" t="s">
        <v>1345</v>
      </c>
      <c r="C368" s="450"/>
      <c r="D368" s="450"/>
      <c r="E368" s="450"/>
      <c r="F368" s="450"/>
      <c r="G368" s="452"/>
      <c r="H368" s="452"/>
      <c r="I368" s="492"/>
      <c r="J368" s="492"/>
      <c r="K368" s="492"/>
      <c r="L368" s="492"/>
      <c r="M368" s="492"/>
      <c r="N368" s="492"/>
      <c r="O368" s="492"/>
      <c r="P368" s="492"/>
      <c r="Q368" s="492"/>
      <c r="R368" s="492"/>
      <c r="S368" s="492"/>
      <c r="T368" s="492"/>
      <c r="U368" s="492"/>
      <c r="V368" s="492"/>
      <c r="W368" s="492"/>
      <c r="X368" s="453"/>
      <c r="Y368" s="453"/>
      <c r="Z368" s="453"/>
      <c r="AA368" s="453"/>
      <c r="AB368" s="453"/>
      <c r="AC368" s="452"/>
      <c r="AD368" s="452"/>
      <c r="AE368" s="452"/>
      <c r="AF368" s="452"/>
      <c r="AG368" s="452"/>
      <c r="AH368" s="452"/>
      <c r="AI368" s="452"/>
      <c r="AJ368" s="454"/>
      <c r="AK368" s="454"/>
      <c r="AL368" s="454"/>
      <c r="AM368" s="454"/>
      <c r="AN368" s="454"/>
      <c r="AO368" s="454"/>
      <c r="AP368" s="454"/>
      <c r="AQ368" s="506">
        <v>300</v>
      </c>
      <c r="AR368" s="452"/>
      <c r="AS368" s="506">
        <v>300</v>
      </c>
      <c r="AT368" s="506">
        <v>300</v>
      </c>
      <c r="AU368" s="495"/>
      <c r="AV368" s="495"/>
      <c r="AW368" s="10"/>
      <c r="AX368" s="119"/>
      <c r="BB368" s="119">
        <v>1</v>
      </c>
      <c r="BC368" s="119">
        <v>2</v>
      </c>
    </row>
    <row r="369" spans="1:55" ht="31.5" x14ac:dyDescent="0.25">
      <c r="A369" s="448" t="s">
        <v>768</v>
      </c>
      <c r="B369" s="533" t="s">
        <v>1346</v>
      </c>
      <c r="C369" s="450"/>
      <c r="D369" s="450"/>
      <c r="E369" s="450"/>
      <c r="F369" s="450"/>
      <c r="G369" s="452"/>
      <c r="H369" s="452"/>
      <c r="I369" s="492"/>
      <c r="J369" s="492"/>
      <c r="K369" s="492"/>
      <c r="L369" s="492"/>
      <c r="M369" s="492"/>
      <c r="N369" s="492"/>
      <c r="O369" s="492"/>
      <c r="P369" s="492"/>
      <c r="Q369" s="492"/>
      <c r="R369" s="492"/>
      <c r="S369" s="492"/>
      <c r="T369" s="492"/>
      <c r="U369" s="492"/>
      <c r="V369" s="492"/>
      <c r="W369" s="492"/>
      <c r="X369" s="453"/>
      <c r="Y369" s="453"/>
      <c r="Z369" s="453"/>
      <c r="AA369" s="453"/>
      <c r="AB369" s="453"/>
      <c r="AC369" s="452"/>
      <c r="AD369" s="452"/>
      <c r="AE369" s="452"/>
      <c r="AF369" s="452"/>
      <c r="AG369" s="452"/>
      <c r="AH369" s="452"/>
      <c r="AI369" s="452"/>
      <c r="AJ369" s="454"/>
      <c r="AK369" s="454"/>
      <c r="AL369" s="454"/>
      <c r="AM369" s="454"/>
      <c r="AN369" s="454"/>
      <c r="AO369" s="454"/>
      <c r="AP369" s="454"/>
      <c r="AQ369" s="506">
        <v>2000</v>
      </c>
      <c r="AR369" s="452"/>
      <c r="AS369" s="506">
        <v>2000</v>
      </c>
      <c r="AT369" s="506">
        <v>2000</v>
      </c>
      <c r="AU369" s="495"/>
      <c r="AV369" s="495"/>
      <c r="AW369" s="10"/>
      <c r="AX369" s="119"/>
      <c r="BB369" s="119">
        <v>1</v>
      </c>
      <c r="BC369" s="119">
        <v>2</v>
      </c>
    </row>
    <row r="370" spans="1:55" ht="33.75" customHeight="1" x14ac:dyDescent="0.25">
      <c r="A370" s="426" t="s">
        <v>704</v>
      </c>
      <c r="B370" s="427" t="s">
        <v>1347</v>
      </c>
      <c r="C370" s="464"/>
      <c r="D370" s="464"/>
      <c r="E370" s="464"/>
      <c r="F370" s="464"/>
      <c r="G370" s="465">
        <f>+G371+G372</f>
        <v>42812</v>
      </c>
      <c r="H370" s="465">
        <f t="shared" ref="H370:AL370" si="46">+H371+H372</f>
        <v>42307</v>
      </c>
      <c r="I370" s="465">
        <f t="shared" si="46"/>
        <v>0</v>
      </c>
      <c r="J370" s="465">
        <f t="shared" si="46"/>
        <v>0</v>
      </c>
      <c r="K370" s="465">
        <f t="shared" si="46"/>
        <v>0</v>
      </c>
      <c r="L370" s="465">
        <f t="shared" si="46"/>
        <v>3210</v>
      </c>
      <c r="M370" s="465">
        <f t="shared" si="46"/>
        <v>3210</v>
      </c>
      <c r="N370" s="465">
        <f t="shared" si="46"/>
        <v>3210</v>
      </c>
      <c r="O370" s="465">
        <f t="shared" si="46"/>
        <v>3210</v>
      </c>
      <c r="P370" s="465">
        <f t="shared" si="46"/>
        <v>0</v>
      </c>
      <c r="Q370" s="465">
        <f t="shared" si="46"/>
        <v>0</v>
      </c>
      <c r="R370" s="465">
        <f t="shared" si="46"/>
        <v>0</v>
      </c>
      <c r="S370" s="465">
        <f t="shared" si="46"/>
        <v>0</v>
      </c>
      <c r="T370" s="465">
        <f t="shared" si="46"/>
        <v>0</v>
      </c>
      <c r="U370" s="465">
        <f t="shared" si="46"/>
        <v>0</v>
      </c>
      <c r="V370" s="465">
        <f t="shared" si="46"/>
        <v>0</v>
      </c>
      <c r="W370" s="465">
        <f t="shared" si="46"/>
        <v>0</v>
      </c>
      <c r="X370" s="465">
        <f t="shared" si="46"/>
        <v>104361</v>
      </c>
      <c r="Y370" s="465">
        <f t="shared" si="46"/>
        <v>100330</v>
      </c>
      <c r="Z370" s="465">
        <f t="shared" si="46"/>
        <v>0</v>
      </c>
      <c r="AA370" s="465">
        <f t="shared" si="46"/>
        <v>0</v>
      </c>
      <c r="AB370" s="465">
        <f t="shared" si="46"/>
        <v>0</v>
      </c>
      <c r="AC370" s="465">
        <f t="shared" si="46"/>
        <v>0</v>
      </c>
      <c r="AD370" s="465">
        <f t="shared" si="46"/>
        <v>6614</v>
      </c>
      <c r="AE370" s="465">
        <f t="shared" si="46"/>
        <v>5420</v>
      </c>
      <c r="AF370" s="465">
        <f t="shared" si="46"/>
        <v>0</v>
      </c>
      <c r="AG370" s="465">
        <f t="shared" si="46"/>
        <v>0</v>
      </c>
      <c r="AH370" s="465">
        <f t="shared" si="46"/>
        <v>10141</v>
      </c>
      <c r="AI370" s="465">
        <f t="shared" si="46"/>
        <v>10141</v>
      </c>
      <c r="AJ370" s="465">
        <f t="shared" si="46"/>
        <v>0</v>
      </c>
      <c r="AK370" s="465">
        <f t="shared" si="46"/>
        <v>8483</v>
      </c>
      <c r="AL370" s="465">
        <f t="shared" si="46"/>
        <v>8483</v>
      </c>
      <c r="AM370" s="465">
        <f t="shared" ref="AM370:AV370" si="47">AM371+AM372</f>
        <v>101640</v>
      </c>
      <c r="AN370" s="465">
        <f t="shared" si="47"/>
        <v>100330</v>
      </c>
      <c r="AO370" s="465">
        <f t="shared" si="47"/>
        <v>0</v>
      </c>
      <c r="AP370" s="465">
        <f t="shared" si="47"/>
        <v>0</v>
      </c>
      <c r="AQ370" s="465">
        <f t="shared" si="47"/>
        <v>0</v>
      </c>
      <c r="AR370" s="465">
        <f t="shared" si="47"/>
        <v>0</v>
      </c>
      <c r="AS370" s="465">
        <f t="shared" si="47"/>
        <v>101640</v>
      </c>
      <c r="AT370" s="465">
        <f t="shared" si="47"/>
        <v>100330</v>
      </c>
      <c r="AU370" s="465">
        <f t="shared" si="47"/>
        <v>0</v>
      </c>
      <c r="AV370" s="465">
        <f t="shared" si="47"/>
        <v>0</v>
      </c>
      <c r="AW370" s="10"/>
      <c r="AX370" s="119"/>
      <c r="BB370" s="119">
        <v>1</v>
      </c>
      <c r="BC370" s="119">
        <v>1</v>
      </c>
    </row>
    <row r="371" spans="1:55" ht="47.25" x14ac:dyDescent="0.25">
      <c r="A371" s="469" t="s">
        <v>730</v>
      </c>
      <c r="B371" s="470" t="s">
        <v>731</v>
      </c>
      <c r="C371" s="471"/>
      <c r="D371" s="471"/>
      <c r="E371" s="471"/>
      <c r="F371" s="471"/>
      <c r="G371" s="472">
        <v>4915</v>
      </c>
      <c r="H371" s="472">
        <v>4915</v>
      </c>
      <c r="I371" s="473">
        <v>0</v>
      </c>
      <c r="J371" s="473">
        <v>0</v>
      </c>
      <c r="K371" s="473">
        <v>0</v>
      </c>
      <c r="L371" s="473">
        <v>3210</v>
      </c>
      <c r="M371" s="473">
        <v>3210</v>
      </c>
      <c r="N371" s="473">
        <v>3210</v>
      </c>
      <c r="O371" s="473">
        <v>3210</v>
      </c>
      <c r="P371" s="473"/>
      <c r="Q371" s="473"/>
      <c r="R371" s="473"/>
      <c r="S371" s="473"/>
      <c r="T371" s="473"/>
      <c r="U371" s="473"/>
      <c r="V371" s="473"/>
      <c r="W371" s="473"/>
      <c r="X371" s="474">
        <v>1211</v>
      </c>
      <c r="Y371" s="474">
        <v>1211</v>
      </c>
      <c r="Z371" s="474">
        <v>0</v>
      </c>
      <c r="AA371" s="474">
        <v>0</v>
      </c>
      <c r="AB371" s="474"/>
      <c r="AC371" s="472"/>
      <c r="AD371" s="472">
        <v>1211</v>
      </c>
      <c r="AE371" s="472">
        <v>1211</v>
      </c>
      <c r="AF371" s="472"/>
      <c r="AG371" s="472"/>
      <c r="AH371" s="472">
        <v>0</v>
      </c>
      <c r="AI371" s="472">
        <v>0</v>
      </c>
      <c r="AJ371" s="475">
        <v>0</v>
      </c>
      <c r="AK371" s="475">
        <f>IF(AN371-Y371&gt;0,AM371-Y371,0)</f>
        <v>0</v>
      </c>
      <c r="AL371" s="475">
        <f>IF(Y371-AN371&gt;0,Y371-AN371,0)</f>
        <v>0</v>
      </c>
      <c r="AM371" s="475">
        <v>1211</v>
      </c>
      <c r="AN371" s="475">
        <v>1211</v>
      </c>
      <c r="AO371" s="475"/>
      <c r="AP371" s="475"/>
      <c r="AQ371" s="472"/>
      <c r="AR371" s="472"/>
      <c r="AS371" s="477">
        <v>1211</v>
      </c>
      <c r="AT371" s="477">
        <v>1211</v>
      </c>
      <c r="AU371" s="495"/>
      <c r="AV371" s="495"/>
      <c r="AW371" s="147"/>
      <c r="AX371" s="119"/>
    </row>
    <row r="372" spans="1:55" x14ac:dyDescent="0.25">
      <c r="A372" s="469" t="s">
        <v>730</v>
      </c>
      <c r="B372" s="470" t="s">
        <v>1348</v>
      </c>
      <c r="C372" s="471"/>
      <c r="D372" s="471"/>
      <c r="E372" s="471"/>
      <c r="F372" s="471"/>
      <c r="G372" s="472">
        <f>SUM(G373:G424)</f>
        <v>37897</v>
      </c>
      <c r="H372" s="472">
        <f t="shared" ref="H372:AL372" si="48">SUM(H373:H424)</f>
        <v>37392</v>
      </c>
      <c r="I372" s="472">
        <f t="shared" si="48"/>
        <v>0</v>
      </c>
      <c r="J372" s="472">
        <f t="shared" si="48"/>
        <v>0</v>
      </c>
      <c r="K372" s="472">
        <f t="shared" si="48"/>
        <v>0</v>
      </c>
      <c r="L372" s="472">
        <f t="shared" si="48"/>
        <v>0</v>
      </c>
      <c r="M372" s="472">
        <f t="shared" si="48"/>
        <v>0</v>
      </c>
      <c r="N372" s="472">
        <f t="shared" si="48"/>
        <v>0</v>
      </c>
      <c r="O372" s="472">
        <f t="shared" si="48"/>
        <v>0</v>
      </c>
      <c r="P372" s="472">
        <f t="shared" si="48"/>
        <v>0</v>
      </c>
      <c r="Q372" s="472">
        <f t="shared" si="48"/>
        <v>0</v>
      </c>
      <c r="R372" s="472">
        <f t="shared" si="48"/>
        <v>0</v>
      </c>
      <c r="S372" s="472">
        <f t="shared" si="48"/>
        <v>0</v>
      </c>
      <c r="T372" s="472">
        <f t="shared" si="48"/>
        <v>0</v>
      </c>
      <c r="U372" s="472">
        <f t="shared" si="48"/>
        <v>0</v>
      </c>
      <c r="V372" s="472">
        <f t="shared" si="48"/>
        <v>0</v>
      </c>
      <c r="W372" s="472">
        <f t="shared" si="48"/>
        <v>0</v>
      </c>
      <c r="X372" s="472">
        <f t="shared" si="48"/>
        <v>103150</v>
      </c>
      <c r="Y372" s="472">
        <f t="shared" si="48"/>
        <v>99119</v>
      </c>
      <c r="Z372" s="472">
        <f t="shared" si="48"/>
        <v>0</v>
      </c>
      <c r="AA372" s="472">
        <f t="shared" si="48"/>
        <v>0</v>
      </c>
      <c r="AB372" s="472">
        <f t="shared" si="48"/>
        <v>0</v>
      </c>
      <c r="AC372" s="472">
        <f t="shared" si="48"/>
        <v>0</v>
      </c>
      <c r="AD372" s="472">
        <f t="shared" si="48"/>
        <v>5403</v>
      </c>
      <c r="AE372" s="472">
        <f t="shared" si="48"/>
        <v>4209</v>
      </c>
      <c r="AF372" s="472">
        <f t="shared" si="48"/>
        <v>0</v>
      </c>
      <c r="AG372" s="472">
        <f t="shared" si="48"/>
        <v>0</v>
      </c>
      <c r="AH372" s="472">
        <f t="shared" si="48"/>
        <v>10141</v>
      </c>
      <c r="AI372" s="472">
        <f t="shared" si="48"/>
        <v>10141</v>
      </c>
      <c r="AJ372" s="472">
        <f t="shared" si="48"/>
        <v>0</v>
      </c>
      <c r="AK372" s="472">
        <f t="shared" si="48"/>
        <v>8483</v>
      </c>
      <c r="AL372" s="472">
        <f t="shared" si="48"/>
        <v>8483</v>
      </c>
      <c r="AM372" s="490">
        <f t="shared" ref="AM372:AN372" si="49">SUM(AM373:AM424)-AM388-AM389</f>
        <v>100429</v>
      </c>
      <c r="AN372" s="490">
        <f t="shared" si="49"/>
        <v>99119</v>
      </c>
      <c r="AO372" s="490">
        <f t="shared" ref="AO372" si="50">SUM(AO373:AO424)-AO388-AO389</f>
        <v>0</v>
      </c>
      <c r="AP372" s="490">
        <f t="shared" ref="AP372:AV372" si="51">SUM(AP373:AP424)-AP388-AP389</f>
        <v>0</v>
      </c>
      <c r="AQ372" s="477">
        <f t="shared" si="51"/>
        <v>0</v>
      </c>
      <c r="AR372" s="477">
        <f t="shared" si="51"/>
        <v>0</v>
      </c>
      <c r="AS372" s="477">
        <f t="shared" si="51"/>
        <v>100429</v>
      </c>
      <c r="AT372" s="477">
        <f t="shared" si="51"/>
        <v>99119</v>
      </c>
      <c r="AU372" s="490">
        <f t="shared" si="51"/>
        <v>0</v>
      </c>
      <c r="AV372" s="490">
        <f t="shared" si="51"/>
        <v>0</v>
      </c>
      <c r="AW372" s="147"/>
      <c r="AX372" s="119"/>
    </row>
    <row r="373" spans="1:55" ht="47.25" x14ac:dyDescent="0.25">
      <c r="A373" s="448">
        <v>1</v>
      </c>
      <c r="B373" s="449" t="s">
        <v>1349</v>
      </c>
      <c r="C373" s="450" t="s">
        <v>79</v>
      </c>
      <c r="D373" s="450"/>
      <c r="E373" s="450" t="s">
        <v>70</v>
      </c>
      <c r="F373" s="450" t="s">
        <v>1350</v>
      </c>
      <c r="G373" s="452">
        <v>2557</v>
      </c>
      <c r="H373" s="452">
        <v>2557</v>
      </c>
      <c r="I373" s="492"/>
      <c r="J373" s="492"/>
      <c r="K373" s="492"/>
      <c r="L373" s="492"/>
      <c r="M373" s="492"/>
      <c r="N373" s="492"/>
      <c r="O373" s="492"/>
      <c r="P373" s="492"/>
      <c r="Q373" s="492"/>
      <c r="R373" s="492"/>
      <c r="S373" s="492"/>
      <c r="T373" s="492"/>
      <c r="U373" s="492"/>
      <c r="V373" s="492"/>
      <c r="W373" s="492"/>
      <c r="X373" s="453">
        <v>2557</v>
      </c>
      <c r="Y373" s="453">
        <v>2557</v>
      </c>
      <c r="Z373" s="453"/>
      <c r="AA373" s="453"/>
      <c r="AB373" s="453"/>
      <c r="AC373" s="452"/>
      <c r="AD373" s="452">
        <v>2243</v>
      </c>
      <c r="AE373" s="452">
        <v>1549</v>
      </c>
      <c r="AF373" s="452"/>
      <c r="AG373" s="452"/>
      <c r="AH373" s="452">
        <v>314</v>
      </c>
      <c r="AI373" s="452">
        <v>314</v>
      </c>
      <c r="AJ373" s="454"/>
      <c r="AK373" s="454">
        <f t="shared" ref="AK373:AK386" si="52">IF(AN373-Y373&gt;0,AM373-Y373,0)</f>
        <v>0</v>
      </c>
      <c r="AL373" s="454">
        <f t="shared" ref="AL373:AL387" si="53">IF(Y373-AN373&gt;0,Y373-AN373,0)</f>
        <v>0</v>
      </c>
      <c r="AM373" s="453">
        <v>2557</v>
      </c>
      <c r="AN373" s="453">
        <v>2557</v>
      </c>
      <c r="AO373" s="454"/>
      <c r="AP373" s="454"/>
      <c r="AQ373" s="452"/>
      <c r="AR373" s="452"/>
      <c r="AS373" s="497">
        <v>2557</v>
      </c>
      <c r="AT373" s="497">
        <v>2557</v>
      </c>
      <c r="AU373" s="495"/>
      <c r="AV373" s="495"/>
      <c r="AW373" s="10"/>
      <c r="AX373" s="119"/>
      <c r="BB373" s="119">
        <v>1</v>
      </c>
      <c r="BC373" s="119">
        <v>6</v>
      </c>
    </row>
    <row r="374" spans="1:55" ht="47.25" x14ac:dyDescent="0.25">
      <c r="A374" s="448">
        <v>2</v>
      </c>
      <c r="B374" s="449" t="s">
        <v>1351</v>
      </c>
      <c r="C374" s="450" t="s">
        <v>80</v>
      </c>
      <c r="D374" s="450"/>
      <c r="E374" s="450" t="s">
        <v>70</v>
      </c>
      <c r="F374" s="450" t="s">
        <v>1352</v>
      </c>
      <c r="G374" s="452">
        <v>2000</v>
      </c>
      <c r="H374" s="452">
        <v>2000</v>
      </c>
      <c r="I374" s="492"/>
      <c r="J374" s="492"/>
      <c r="K374" s="492"/>
      <c r="L374" s="492"/>
      <c r="M374" s="492"/>
      <c r="N374" s="492"/>
      <c r="O374" s="492"/>
      <c r="P374" s="492"/>
      <c r="Q374" s="492"/>
      <c r="R374" s="492"/>
      <c r="S374" s="492"/>
      <c r="T374" s="492"/>
      <c r="U374" s="492"/>
      <c r="V374" s="492"/>
      <c r="W374" s="492"/>
      <c r="X374" s="453">
        <v>2000</v>
      </c>
      <c r="Y374" s="453">
        <v>2000</v>
      </c>
      <c r="Z374" s="453"/>
      <c r="AA374" s="453"/>
      <c r="AB374" s="453"/>
      <c r="AC374" s="452"/>
      <c r="AD374" s="452">
        <v>1200</v>
      </c>
      <c r="AE374" s="452">
        <v>700</v>
      </c>
      <c r="AF374" s="452"/>
      <c r="AG374" s="452"/>
      <c r="AH374" s="452">
        <v>800</v>
      </c>
      <c r="AI374" s="452">
        <v>800</v>
      </c>
      <c r="AJ374" s="454"/>
      <c r="AK374" s="454">
        <f t="shared" si="52"/>
        <v>0</v>
      </c>
      <c r="AL374" s="454">
        <f t="shared" si="53"/>
        <v>0</v>
      </c>
      <c r="AM374" s="453">
        <v>2000</v>
      </c>
      <c r="AN374" s="453">
        <v>2000</v>
      </c>
      <c r="AO374" s="454"/>
      <c r="AP374" s="454"/>
      <c r="AQ374" s="452"/>
      <c r="AR374" s="452"/>
      <c r="AS374" s="497">
        <v>2000</v>
      </c>
      <c r="AT374" s="497">
        <v>2000</v>
      </c>
      <c r="AU374" s="495"/>
      <c r="AV374" s="495"/>
      <c r="AW374" s="10"/>
      <c r="AX374" s="119"/>
      <c r="BB374" s="119">
        <v>1</v>
      </c>
      <c r="BC374" s="119">
        <v>6</v>
      </c>
    </row>
    <row r="375" spans="1:55" ht="47.25" x14ac:dyDescent="0.25">
      <c r="A375" s="448">
        <v>3</v>
      </c>
      <c r="B375" s="449" t="s">
        <v>1353</v>
      </c>
      <c r="C375" s="450" t="s">
        <v>80</v>
      </c>
      <c r="D375" s="450"/>
      <c r="E375" s="450" t="s">
        <v>70</v>
      </c>
      <c r="F375" s="450" t="s">
        <v>1354</v>
      </c>
      <c r="G375" s="452">
        <v>4000</v>
      </c>
      <c r="H375" s="452">
        <v>3600</v>
      </c>
      <c r="I375" s="492"/>
      <c r="J375" s="492"/>
      <c r="K375" s="492"/>
      <c r="L375" s="492"/>
      <c r="M375" s="492"/>
      <c r="N375" s="492"/>
      <c r="O375" s="492"/>
      <c r="P375" s="492"/>
      <c r="Q375" s="492"/>
      <c r="R375" s="492"/>
      <c r="S375" s="492"/>
      <c r="T375" s="492"/>
      <c r="U375" s="492"/>
      <c r="V375" s="492"/>
      <c r="W375" s="492"/>
      <c r="X375" s="453">
        <v>4000</v>
      </c>
      <c r="Y375" s="453">
        <v>3600</v>
      </c>
      <c r="Z375" s="453"/>
      <c r="AA375" s="453"/>
      <c r="AB375" s="453"/>
      <c r="AC375" s="452"/>
      <c r="AD375" s="452">
        <v>1400</v>
      </c>
      <c r="AE375" s="452">
        <v>1400</v>
      </c>
      <c r="AF375" s="452"/>
      <c r="AG375" s="452"/>
      <c r="AH375" s="452">
        <v>1845.442</v>
      </c>
      <c r="AI375" s="452">
        <v>1845.442</v>
      </c>
      <c r="AJ375" s="454"/>
      <c r="AK375" s="454">
        <f t="shared" si="52"/>
        <v>0</v>
      </c>
      <c r="AL375" s="454">
        <f t="shared" si="53"/>
        <v>0</v>
      </c>
      <c r="AM375" s="453">
        <v>4000</v>
      </c>
      <c r="AN375" s="453">
        <v>3600</v>
      </c>
      <c r="AO375" s="454"/>
      <c r="AP375" s="454"/>
      <c r="AQ375" s="452"/>
      <c r="AR375" s="452"/>
      <c r="AS375" s="497">
        <v>4000</v>
      </c>
      <c r="AT375" s="497">
        <v>3600</v>
      </c>
      <c r="AU375" s="495"/>
      <c r="AV375" s="495"/>
      <c r="AW375" s="10"/>
      <c r="AX375" s="119"/>
      <c r="BB375" s="119">
        <v>1</v>
      </c>
      <c r="BC375" s="119">
        <v>6</v>
      </c>
    </row>
    <row r="376" spans="1:55" ht="47.25" x14ac:dyDescent="0.25">
      <c r="A376" s="448">
        <v>4</v>
      </c>
      <c r="B376" s="449" t="s">
        <v>1355</v>
      </c>
      <c r="C376" s="450" t="s">
        <v>1356</v>
      </c>
      <c r="D376" s="450"/>
      <c r="E376" s="450">
        <v>2016</v>
      </c>
      <c r="F376" s="450" t="s">
        <v>1357</v>
      </c>
      <c r="G376" s="452">
        <v>1600</v>
      </c>
      <c r="H376" s="452">
        <v>1600</v>
      </c>
      <c r="I376" s="492"/>
      <c r="J376" s="492"/>
      <c r="K376" s="492"/>
      <c r="L376" s="492"/>
      <c r="M376" s="492"/>
      <c r="N376" s="492"/>
      <c r="O376" s="492"/>
      <c r="P376" s="492"/>
      <c r="Q376" s="492"/>
      <c r="R376" s="492"/>
      <c r="S376" s="492"/>
      <c r="T376" s="492"/>
      <c r="U376" s="492"/>
      <c r="V376" s="492"/>
      <c r="W376" s="492"/>
      <c r="X376" s="453">
        <v>1600</v>
      </c>
      <c r="Y376" s="453">
        <v>1600</v>
      </c>
      <c r="Z376" s="453"/>
      <c r="AA376" s="453"/>
      <c r="AB376" s="453"/>
      <c r="AC376" s="452"/>
      <c r="AD376" s="452">
        <v>560</v>
      </c>
      <c r="AE376" s="452">
        <v>560</v>
      </c>
      <c r="AF376" s="452"/>
      <c r="AG376" s="452"/>
      <c r="AH376" s="452">
        <v>1007</v>
      </c>
      <c r="AI376" s="452">
        <v>1007</v>
      </c>
      <c r="AJ376" s="454"/>
      <c r="AK376" s="454">
        <f t="shared" si="52"/>
        <v>0</v>
      </c>
      <c r="AL376" s="454">
        <f t="shared" si="53"/>
        <v>0</v>
      </c>
      <c r="AM376" s="453">
        <v>1600</v>
      </c>
      <c r="AN376" s="453">
        <v>1600</v>
      </c>
      <c r="AO376" s="454"/>
      <c r="AP376" s="454"/>
      <c r="AQ376" s="452"/>
      <c r="AR376" s="452"/>
      <c r="AS376" s="497">
        <v>1600</v>
      </c>
      <c r="AT376" s="497">
        <v>1600</v>
      </c>
      <c r="AU376" s="495"/>
      <c r="AV376" s="495"/>
      <c r="AW376" s="10"/>
      <c r="AX376" s="119"/>
      <c r="BB376" s="119">
        <v>1</v>
      </c>
      <c r="BC376" s="119">
        <v>6</v>
      </c>
    </row>
    <row r="377" spans="1:55" ht="31.5" x14ac:dyDescent="0.25">
      <c r="A377" s="448">
        <v>5</v>
      </c>
      <c r="B377" s="449" t="s">
        <v>1358</v>
      </c>
      <c r="C377" s="450" t="s">
        <v>1356</v>
      </c>
      <c r="D377" s="450"/>
      <c r="E377" s="450" t="s">
        <v>55</v>
      </c>
      <c r="F377" s="450"/>
      <c r="G377" s="452"/>
      <c r="H377" s="452"/>
      <c r="I377" s="492"/>
      <c r="J377" s="492"/>
      <c r="K377" s="492"/>
      <c r="L377" s="492"/>
      <c r="M377" s="492"/>
      <c r="N377" s="492"/>
      <c r="O377" s="492"/>
      <c r="P377" s="492"/>
      <c r="Q377" s="492"/>
      <c r="R377" s="492"/>
      <c r="S377" s="492"/>
      <c r="T377" s="492"/>
      <c r="U377" s="492"/>
      <c r="V377" s="492"/>
      <c r="W377" s="492"/>
      <c r="X377" s="453">
        <v>3000</v>
      </c>
      <c r="Y377" s="453">
        <v>3000</v>
      </c>
      <c r="Z377" s="453"/>
      <c r="AA377" s="453"/>
      <c r="AB377" s="453"/>
      <c r="AC377" s="452"/>
      <c r="AD377" s="452"/>
      <c r="AE377" s="452"/>
      <c r="AF377" s="452"/>
      <c r="AG377" s="452"/>
      <c r="AH377" s="452">
        <v>1050</v>
      </c>
      <c r="AI377" s="452">
        <v>1050</v>
      </c>
      <c r="AJ377" s="454"/>
      <c r="AK377" s="454">
        <f t="shared" si="52"/>
        <v>0</v>
      </c>
      <c r="AL377" s="454">
        <f t="shared" si="53"/>
        <v>30</v>
      </c>
      <c r="AM377" s="454">
        <v>3000</v>
      </c>
      <c r="AN377" s="454">
        <v>2970</v>
      </c>
      <c r="AO377" s="454"/>
      <c r="AP377" s="454"/>
      <c r="AQ377" s="452"/>
      <c r="AR377" s="452"/>
      <c r="AS377" s="494">
        <v>3000</v>
      </c>
      <c r="AT377" s="494">
        <v>2970</v>
      </c>
      <c r="AU377" s="495"/>
      <c r="AV377" s="495"/>
      <c r="AW377" s="10"/>
      <c r="AX377" s="119"/>
      <c r="BB377" s="119">
        <v>1</v>
      </c>
      <c r="BC377" s="119">
        <v>6</v>
      </c>
    </row>
    <row r="378" spans="1:55" ht="47.25" x14ac:dyDescent="0.25">
      <c r="A378" s="448">
        <v>6</v>
      </c>
      <c r="B378" s="449" t="s">
        <v>1359</v>
      </c>
      <c r="C378" s="450" t="s">
        <v>1360</v>
      </c>
      <c r="D378" s="450"/>
      <c r="E378" s="450" t="s">
        <v>55</v>
      </c>
      <c r="F378" s="450" t="s">
        <v>1361</v>
      </c>
      <c r="G378" s="452">
        <v>2650</v>
      </c>
      <c r="H378" s="452">
        <v>2650</v>
      </c>
      <c r="I378" s="492"/>
      <c r="J378" s="492"/>
      <c r="K378" s="492"/>
      <c r="L378" s="492"/>
      <c r="M378" s="492"/>
      <c r="N378" s="492"/>
      <c r="O378" s="492"/>
      <c r="P378" s="492"/>
      <c r="Q378" s="492"/>
      <c r="R378" s="492"/>
      <c r="S378" s="492"/>
      <c r="T378" s="492"/>
      <c r="U378" s="492"/>
      <c r="V378" s="492"/>
      <c r="W378" s="492"/>
      <c r="X378" s="453">
        <v>2650</v>
      </c>
      <c r="Y378" s="453">
        <v>2650</v>
      </c>
      <c r="Z378" s="453"/>
      <c r="AA378" s="453"/>
      <c r="AB378" s="453"/>
      <c r="AC378" s="452"/>
      <c r="AD378" s="452"/>
      <c r="AE378" s="452"/>
      <c r="AF378" s="452"/>
      <c r="AG378" s="452"/>
      <c r="AH378" s="452">
        <v>927.49999999999989</v>
      </c>
      <c r="AI378" s="452">
        <v>927.49999999999989</v>
      </c>
      <c r="AJ378" s="454"/>
      <c r="AK378" s="454">
        <f t="shared" si="52"/>
        <v>0</v>
      </c>
      <c r="AL378" s="454">
        <f t="shared" si="53"/>
        <v>27</v>
      </c>
      <c r="AM378" s="454">
        <v>2650</v>
      </c>
      <c r="AN378" s="454">
        <v>2623</v>
      </c>
      <c r="AO378" s="454"/>
      <c r="AP378" s="454"/>
      <c r="AQ378" s="452"/>
      <c r="AR378" s="452"/>
      <c r="AS378" s="494">
        <v>2650</v>
      </c>
      <c r="AT378" s="494">
        <v>2623</v>
      </c>
      <c r="AU378" s="495"/>
      <c r="AV378" s="495"/>
      <c r="AW378" s="10"/>
      <c r="AX378" s="119"/>
      <c r="BB378" s="119">
        <v>1</v>
      </c>
      <c r="BC378" s="119">
        <v>6</v>
      </c>
    </row>
    <row r="379" spans="1:55" ht="47.25" x14ac:dyDescent="0.25">
      <c r="A379" s="448">
        <v>7</v>
      </c>
      <c r="B379" s="449" t="s">
        <v>1362</v>
      </c>
      <c r="C379" s="450" t="s">
        <v>79</v>
      </c>
      <c r="D379" s="450"/>
      <c r="E379" s="450" t="s">
        <v>55</v>
      </c>
      <c r="F379" s="450" t="s">
        <v>1363</v>
      </c>
      <c r="G379" s="452">
        <v>4000</v>
      </c>
      <c r="H379" s="452">
        <v>4000</v>
      </c>
      <c r="I379" s="492"/>
      <c r="J379" s="492"/>
      <c r="K379" s="492"/>
      <c r="L379" s="492"/>
      <c r="M379" s="492"/>
      <c r="N379" s="492"/>
      <c r="O379" s="492"/>
      <c r="P379" s="492"/>
      <c r="Q379" s="492"/>
      <c r="R379" s="492"/>
      <c r="S379" s="492"/>
      <c r="T379" s="492"/>
      <c r="U379" s="492"/>
      <c r="V379" s="492"/>
      <c r="W379" s="492"/>
      <c r="X379" s="453">
        <v>4000</v>
      </c>
      <c r="Y379" s="453">
        <v>4000</v>
      </c>
      <c r="Z379" s="453"/>
      <c r="AA379" s="453"/>
      <c r="AB379" s="453"/>
      <c r="AC379" s="452"/>
      <c r="AD379" s="452"/>
      <c r="AE379" s="452"/>
      <c r="AF379" s="452"/>
      <c r="AG379" s="452"/>
      <c r="AH379" s="452">
        <v>1834.558</v>
      </c>
      <c r="AI379" s="452">
        <v>1834.558</v>
      </c>
      <c r="AJ379" s="454"/>
      <c r="AK379" s="454">
        <f t="shared" si="52"/>
        <v>0</v>
      </c>
      <c r="AL379" s="454">
        <f t="shared" si="53"/>
        <v>43</v>
      </c>
      <c r="AM379" s="454">
        <v>4000</v>
      </c>
      <c r="AN379" s="454">
        <v>3957</v>
      </c>
      <c r="AO379" s="454"/>
      <c r="AP379" s="454"/>
      <c r="AQ379" s="452"/>
      <c r="AR379" s="452"/>
      <c r="AS379" s="494">
        <v>4000</v>
      </c>
      <c r="AT379" s="494">
        <v>3957</v>
      </c>
      <c r="AU379" s="495"/>
      <c r="AV379" s="495"/>
      <c r="AW379" s="10"/>
      <c r="AX379" s="119"/>
      <c r="BB379" s="119">
        <v>1</v>
      </c>
      <c r="BC379" s="119">
        <v>6</v>
      </c>
    </row>
    <row r="380" spans="1:55" ht="47.25" x14ac:dyDescent="0.25">
      <c r="A380" s="448">
        <v>8</v>
      </c>
      <c r="B380" s="449" t="s">
        <v>1364</v>
      </c>
      <c r="C380" s="450" t="s">
        <v>81</v>
      </c>
      <c r="D380" s="450"/>
      <c r="E380" s="450" t="s">
        <v>55</v>
      </c>
      <c r="F380" s="450" t="s">
        <v>1365</v>
      </c>
      <c r="G380" s="452">
        <v>2450</v>
      </c>
      <c r="H380" s="452">
        <v>2450</v>
      </c>
      <c r="I380" s="492"/>
      <c r="J380" s="492"/>
      <c r="K380" s="492"/>
      <c r="L380" s="492"/>
      <c r="M380" s="492"/>
      <c r="N380" s="492"/>
      <c r="O380" s="492"/>
      <c r="P380" s="492"/>
      <c r="Q380" s="492"/>
      <c r="R380" s="492"/>
      <c r="S380" s="492"/>
      <c r="T380" s="492"/>
      <c r="U380" s="492"/>
      <c r="V380" s="492"/>
      <c r="W380" s="492"/>
      <c r="X380" s="453">
        <v>2450</v>
      </c>
      <c r="Y380" s="453">
        <v>2450</v>
      </c>
      <c r="Z380" s="453"/>
      <c r="AA380" s="453"/>
      <c r="AB380" s="453"/>
      <c r="AC380" s="452"/>
      <c r="AD380" s="452"/>
      <c r="AE380" s="452"/>
      <c r="AF380" s="452"/>
      <c r="AG380" s="452"/>
      <c r="AH380" s="452">
        <v>857.5</v>
      </c>
      <c r="AI380" s="452">
        <v>857.5</v>
      </c>
      <c r="AJ380" s="454"/>
      <c r="AK380" s="454">
        <f t="shared" si="52"/>
        <v>0</v>
      </c>
      <c r="AL380" s="454">
        <f t="shared" si="53"/>
        <v>32</v>
      </c>
      <c r="AM380" s="454">
        <v>2450</v>
      </c>
      <c r="AN380" s="454">
        <v>2418</v>
      </c>
      <c r="AO380" s="454"/>
      <c r="AP380" s="454"/>
      <c r="AQ380" s="452"/>
      <c r="AR380" s="452"/>
      <c r="AS380" s="494">
        <v>2450</v>
      </c>
      <c r="AT380" s="494">
        <v>2418</v>
      </c>
      <c r="AU380" s="495"/>
      <c r="AV380" s="495"/>
      <c r="AW380" s="10"/>
      <c r="AX380" s="119"/>
      <c r="BB380" s="119">
        <v>1</v>
      </c>
      <c r="BC380" s="119">
        <v>6</v>
      </c>
    </row>
    <row r="381" spans="1:55" ht="47.25" x14ac:dyDescent="0.25">
      <c r="A381" s="448">
        <v>9</v>
      </c>
      <c r="B381" s="449" t="s">
        <v>1366</v>
      </c>
      <c r="C381" s="450" t="s">
        <v>82</v>
      </c>
      <c r="D381" s="450"/>
      <c r="E381" s="450" t="s">
        <v>55</v>
      </c>
      <c r="F381" s="450" t="s">
        <v>1367</v>
      </c>
      <c r="G381" s="452">
        <v>4300</v>
      </c>
      <c r="H381" s="452">
        <v>4300</v>
      </c>
      <c r="I381" s="492"/>
      <c r="J381" s="492"/>
      <c r="K381" s="492"/>
      <c r="L381" s="492"/>
      <c r="M381" s="492"/>
      <c r="N381" s="492"/>
      <c r="O381" s="492"/>
      <c r="P381" s="492"/>
      <c r="Q381" s="492"/>
      <c r="R381" s="492"/>
      <c r="S381" s="492"/>
      <c r="T381" s="492"/>
      <c r="U381" s="492"/>
      <c r="V381" s="492"/>
      <c r="W381" s="492"/>
      <c r="X381" s="453">
        <v>4300</v>
      </c>
      <c r="Y381" s="453">
        <v>4300</v>
      </c>
      <c r="Z381" s="453"/>
      <c r="AA381" s="453"/>
      <c r="AB381" s="453"/>
      <c r="AC381" s="452"/>
      <c r="AD381" s="452"/>
      <c r="AE381" s="452"/>
      <c r="AF381" s="452"/>
      <c r="AG381" s="452"/>
      <c r="AH381" s="452">
        <v>1505</v>
      </c>
      <c r="AI381" s="452">
        <v>1505</v>
      </c>
      <c r="AJ381" s="454"/>
      <c r="AK381" s="454">
        <f t="shared" si="52"/>
        <v>0</v>
      </c>
      <c r="AL381" s="454">
        <f t="shared" si="53"/>
        <v>56</v>
      </c>
      <c r="AM381" s="454">
        <v>4300</v>
      </c>
      <c r="AN381" s="454">
        <v>4244</v>
      </c>
      <c r="AO381" s="454"/>
      <c r="AP381" s="454"/>
      <c r="AQ381" s="452"/>
      <c r="AR381" s="452"/>
      <c r="AS381" s="494">
        <v>4300</v>
      </c>
      <c r="AT381" s="494">
        <v>4244</v>
      </c>
      <c r="AU381" s="495"/>
      <c r="AV381" s="495"/>
      <c r="AW381" s="10"/>
      <c r="AX381" s="119"/>
      <c r="BB381" s="119">
        <v>1</v>
      </c>
      <c r="BC381" s="119">
        <v>6</v>
      </c>
    </row>
    <row r="382" spans="1:55" ht="47.25" x14ac:dyDescent="0.25">
      <c r="A382" s="448">
        <v>10</v>
      </c>
      <c r="B382" s="449" t="s">
        <v>1368</v>
      </c>
      <c r="C382" s="450" t="s">
        <v>81</v>
      </c>
      <c r="D382" s="450"/>
      <c r="E382" s="450" t="s">
        <v>933</v>
      </c>
      <c r="F382" s="540" t="s">
        <v>1369</v>
      </c>
      <c r="G382" s="452">
        <v>2000</v>
      </c>
      <c r="H382" s="452">
        <v>1980</v>
      </c>
      <c r="I382" s="492"/>
      <c r="J382" s="492"/>
      <c r="K382" s="492"/>
      <c r="L382" s="492"/>
      <c r="M382" s="492"/>
      <c r="N382" s="492"/>
      <c r="O382" s="492"/>
      <c r="P382" s="492"/>
      <c r="Q382" s="492"/>
      <c r="R382" s="492"/>
      <c r="S382" s="492"/>
      <c r="T382" s="492"/>
      <c r="U382" s="492"/>
      <c r="V382" s="492"/>
      <c r="W382" s="492"/>
      <c r="X382" s="453">
        <v>2100</v>
      </c>
      <c r="Y382" s="453">
        <v>2000</v>
      </c>
      <c r="Z382" s="453"/>
      <c r="AA382" s="453"/>
      <c r="AB382" s="453"/>
      <c r="AC382" s="452"/>
      <c r="AD382" s="452"/>
      <c r="AE382" s="452"/>
      <c r="AF382" s="452"/>
      <c r="AG382" s="452"/>
      <c r="AH382" s="452"/>
      <c r="AI382" s="452"/>
      <c r="AJ382" s="454"/>
      <c r="AK382" s="454">
        <f t="shared" si="52"/>
        <v>0</v>
      </c>
      <c r="AL382" s="454">
        <f t="shared" si="53"/>
        <v>20</v>
      </c>
      <c r="AM382" s="452">
        <v>2000</v>
      </c>
      <c r="AN382" s="452">
        <v>1980</v>
      </c>
      <c r="AO382" s="454"/>
      <c r="AP382" s="454"/>
      <c r="AQ382" s="452"/>
      <c r="AR382" s="452"/>
      <c r="AS382" s="494">
        <v>2000</v>
      </c>
      <c r="AT382" s="494">
        <v>1980</v>
      </c>
      <c r="AU382" s="495"/>
      <c r="AV382" s="495"/>
      <c r="AW382" s="10"/>
      <c r="AX382" s="119"/>
      <c r="BB382" s="119">
        <v>1</v>
      </c>
      <c r="BC382" s="119">
        <v>6</v>
      </c>
    </row>
    <row r="383" spans="1:55" ht="47.25" x14ac:dyDescent="0.25">
      <c r="A383" s="448">
        <v>11</v>
      </c>
      <c r="B383" s="449" t="s">
        <v>1370</v>
      </c>
      <c r="C383" s="450" t="s">
        <v>81</v>
      </c>
      <c r="D383" s="450"/>
      <c r="E383" s="450" t="s">
        <v>933</v>
      </c>
      <c r="F383" s="540" t="s">
        <v>1371</v>
      </c>
      <c r="G383" s="452">
        <v>1400</v>
      </c>
      <c r="H383" s="452">
        <v>1385</v>
      </c>
      <c r="I383" s="492"/>
      <c r="J383" s="492"/>
      <c r="K383" s="492"/>
      <c r="L383" s="492"/>
      <c r="M383" s="492"/>
      <c r="N383" s="492"/>
      <c r="O383" s="492"/>
      <c r="P383" s="492"/>
      <c r="Q383" s="492"/>
      <c r="R383" s="492"/>
      <c r="S383" s="492"/>
      <c r="T383" s="492"/>
      <c r="U383" s="492"/>
      <c r="V383" s="492"/>
      <c r="W383" s="492"/>
      <c r="X383" s="453">
        <v>1500</v>
      </c>
      <c r="Y383" s="453">
        <v>1400</v>
      </c>
      <c r="Z383" s="453"/>
      <c r="AA383" s="453"/>
      <c r="AB383" s="453"/>
      <c r="AC383" s="452"/>
      <c r="AD383" s="452"/>
      <c r="AE383" s="452"/>
      <c r="AF383" s="452"/>
      <c r="AG383" s="452"/>
      <c r="AH383" s="452"/>
      <c r="AI383" s="452"/>
      <c r="AJ383" s="454"/>
      <c r="AK383" s="454">
        <f t="shared" si="52"/>
        <v>0</v>
      </c>
      <c r="AL383" s="454">
        <f t="shared" si="53"/>
        <v>15</v>
      </c>
      <c r="AM383" s="452">
        <v>1400</v>
      </c>
      <c r="AN383" s="452">
        <v>1385</v>
      </c>
      <c r="AO383" s="454"/>
      <c r="AP383" s="454"/>
      <c r="AQ383" s="452"/>
      <c r="AR383" s="452"/>
      <c r="AS383" s="494">
        <v>1400</v>
      </c>
      <c r="AT383" s="494">
        <v>1385</v>
      </c>
      <c r="AU383" s="495"/>
      <c r="AV383" s="495"/>
      <c r="AW383" s="10"/>
      <c r="AX383" s="119"/>
      <c r="BB383" s="119">
        <v>1</v>
      </c>
      <c r="BC383" s="119">
        <v>6</v>
      </c>
    </row>
    <row r="384" spans="1:55" ht="47.25" x14ac:dyDescent="0.25">
      <c r="A384" s="448">
        <v>12</v>
      </c>
      <c r="B384" s="449" t="s">
        <v>1372</v>
      </c>
      <c r="C384" s="450" t="s">
        <v>81</v>
      </c>
      <c r="D384" s="450"/>
      <c r="E384" s="450" t="s">
        <v>933</v>
      </c>
      <c r="F384" s="450"/>
      <c r="G384" s="454">
        <v>500</v>
      </c>
      <c r="H384" s="454">
        <v>495</v>
      </c>
      <c r="I384" s="492"/>
      <c r="J384" s="492"/>
      <c r="K384" s="492"/>
      <c r="L384" s="492"/>
      <c r="M384" s="492"/>
      <c r="N384" s="492"/>
      <c r="O384" s="492"/>
      <c r="P384" s="492"/>
      <c r="Q384" s="492"/>
      <c r="R384" s="492"/>
      <c r="S384" s="492"/>
      <c r="T384" s="492"/>
      <c r="U384" s="492"/>
      <c r="V384" s="492"/>
      <c r="W384" s="492"/>
      <c r="X384" s="453">
        <v>500</v>
      </c>
      <c r="Y384" s="453">
        <v>500</v>
      </c>
      <c r="Z384" s="453"/>
      <c r="AA384" s="453"/>
      <c r="AB384" s="453"/>
      <c r="AC384" s="452"/>
      <c r="AD384" s="452"/>
      <c r="AE384" s="452"/>
      <c r="AF384" s="452"/>
      <c r="AG384" s="452"/>
      <c r="AH384" s="452"/>
      <c r="AI384" s="452"/>
      <c r="AJ384" s="454"/>
      <c r="AK384" s="454">
        <f t="shared" si="52"/>
        <v>0</v>
      </c>
      <c r="AL384" s="454">
        <f t="shared" si="53"/>
        <v>5</v>
      </c>
      <c r="AM384" s="454">
        <v>500</v>
      </c>
      <c r="AN384" s="454">
        <v>495</v>
      </c>
      <c r="AO384" s="454"/>
      <c r="AP384" s="454"/>
      <c r="AQ384" s="452"/>
      <c r="AR384" s="452"/>
      <c r="AS384" s="494">
        <v>500</v>
      </c>
      <c r="AT384" s="494">
        <v>495</v>
      </c>
      <c r="AU384" s="495"/>
      <c r="AV384" s="495"/>
      <c r="AW384" s="10"/>
      <c r="AX384" s="119"/>
      <c r="BB384" s="119">
        <v>1</v>
      </c>
      <c r="BC384" s="119">
        <v>6</v>
      </c>
    </row>
    <row r="385" spans="1:55" ht="47.25" x14ac:dyDescent="0.25">
      <c r="A385" s="448">
        <v>13</v>
      </c>
      <c r="B385" s="449" t="s">
        <v>1373</v>
      </c>
      <c r="C385" s="450" t="s">
        <v>81</v>
      </c>
      <c r="D385" s="450" t="s">
        <v>1374</v>
      </c>
      <c r="E385" s="450" t="s">
        <v>933</v>
      </c>
      <c r="F385" s="540" t="s">
        <v>1375</v>
      </c>
      <c r="G385" s="454">
        <v>2400</v>
      </c>
      <c r="H385" s="454">
        <v>2375</v>
      </c>
      <c r="I385" s="492"/>
      <c r="J385" s="492"/>
      <c r="K385" s="492"/>
      <c r="L385" s="492"/>
      <c r="M385" s="492"/>
      <c r="N385" s="492"/>
      <c r="O385" s="492"/>
      <c r="P385" s="492"/>
      <c r="Q385" s="492"/>
      <c r="R385" s="492"/>
      <c r="S385" s="492"/>
      <c r="T385" s="492"/>
      <c r="U385" s="492"/>
      <c r="V385" s="492"/>
      <c r="W385" s="492"/>
      <c r="X385" s="453">
        <v>2500</v>
      </c>
      <c r="Y385" s="453">
        <v>2400</v>
      </c>
      <c r="Z385" s="453"/>
      <c r="AA385" s="453"/>
      <c r="AB385" s="453"/>
      <c r="AC385" s="452"/>
      <c r="AD385" s="452"/>
      <c r="AE385" s="452"/>
      <c r="AF385" s="452"/>
      <c r="AG385" s="452"/>
      <c r="AH385" s="452"/>
      <c r="AI385" s="452"/>
      <c r="AJ385" s="454"/>
      <c r="AK385" s="454">
        <f t="shared" si="52"/>
        <v>0</v>
      </c>
      <c r="AL385" s="454">
        <f t="shared" si="53"/>
        <v>25</v>
      </c>
      <c r="AM385" s="454">
        <v>2400</v>
      </c>
      <c r="AN385" s="454">
        <v>2375</v>
      </c>
      <c r="AO385" s="454"/>
      <c r="AP385" s="454"/>
      <c r="AQ385" s="452"/>
      <c r="AR385" s="452"/>
      <c r="AS385" s="494">
        <v>2400</v>
      </c>
      <c r="AT385" s="494">
        <v>2375</v>
      </c>
      <c r="AU385" s="495"/>
      <c r="AV385" s="495"/>
      <c r="AW385" s="10"/>
      <c r="AX385" s="119"/>
      <c r="BB385" s="119">
        <v>1</v>
      </c>
      <c r="BC385" s="119">
        <v>6</v>
      </c>
    </row>
    <row r="386" spans="1:55" ht="47.25" x14ac:dyDescent="0.25">
      <c r="A386" s="448">
        <v>14</v>
      </c>
      <c r="B386" s="449" t="s">
        <v>1376</v>
      </c>
      <c r="C386" s="450" t="s">
        <v>81</v>
      </c>
      <c r="D386" s="450" t="s">
        <v>1377</v>
      </c>
      <c r="E386" s="450" t="s">
        <v>933</v>
      </c>
      <c r="F386" s="540" t="s">
        <v>1378</v>
      </c>
      <c r="G386" s="454">
        <v>1050</v>
      </c>
      <c r="H386" s="454">
        <v>1040</v>
      </c>
      <c r="I386" s="492"/>
      <c r="J386" s="492"/>
      <c r="K386" s="492"/>
      <c r="L386" s="492"/>
      <c r="M386" s="492"/>
      <c r="N386" s="492"/>
      <c r="O386" s="492"/>
      <c r="P386" s="492"/>
      <c r="Q386" s="492"/>
      <c r="R386" s="492"/>
      <c r="S386" s="492"/>
      <c r="T386" s="492"/>
      <c r="U386" s="492"/>
      <c r="V386" s="492"/>
      <c r="W386" s="492"/>
      <c r="X386" s="453">
        <v>1050</v>
      </c>
      <c r="Y386" s="453">
        <v>1050</v>
      </c>
      <c r="Z386" s="453"/>
      <c r="AA386" s="453"/>
      <c r="AB386" s="453"/>
      <c r="AC386" s="452"/>
      <c r="AD386" s="452"/>
      <c r="AE386" s="452"/>
      <c r="AF386" s="452"/>
      <c r="AG386" s="452"/>
      <c r="AH386" s="452"/>
      <c r="AI386" s="452"/>
      <c r="AJ386" s="454"/>
      <c r="AK386" s="454">
        <f t="shared" si="52"/>
        <v>0</v>
      </c>
      <c r="AL386" s="454">
        <f t="shared" si="53"/>
        <v>10</v>
      </c>
      <c r="AM386" s="454">
        <v>1050</v>
      </c>
      <c r="AN386" s="454">
        <v>1040</v>
      </c>
      <c r="AO386" s="454"/>
      <c r="AP386" s="454"/>
      <c r="AQ386" s="452"/>
      <c r="AR386" s="452"/>
      <c r="AS386" s="494">
        <v>1050</v>
      </c>
      <c r="AT386" s="494">
        <v>1040</v>
      </c>
      <c r="AU386" s="495"/>
      <c r="AV386" s="495"/>
      <c r="AW386" s="10"/>
      <c r="AX386" s="119"/>
      <c r="BB386" s="119">
        <v>1</v>
      </c>
      <c r="BC386" s="119">
        <v>6</v>
      </c>
    </row>
    <row r="387" spans="1:55" ht="47.25" x14ac:dyDescent="0.25">
      <c r="A387" s="448">
        <v>15</v>
      </c>
      <c r="B387" s="449" t="s">
        <v>1379</v>
      </c>
      <c r="C387" s="450" t="s">
        <v>81</v>
      </c>
      <c r="D387" s="450"/>
      <c r="E387" s="450" t="s">
        <v>933</v>
      </c>
      <c r="F387" s="450"/>
      <c r="G387" s="452"/>
      <c r="H387" s="452"/>
      <c r="I387" s="492"/>
      <c r="J387" s="492"/>
      <c r="K387" s="492"/>
      <c r="L387" s="492"/>
      <c r="M387" s="492"/>
      <c r="N387" s="492"/>
      <c r="O387" s="492"/>
      <c r="P387" s="492"/>
      <c r="Q387" s="492"/>
      <c r="R387" s="492"/>
      <c r="S387" s="492"/>
      <c r="T387" s="492"/>
      <c r="U387" s="492"/>
      <c r="V387" s="492"/>
      <c r="W387" s="492"/>
      <c r="X387" s="453">
        <v>10440</v>
      </c>
      <c r="Y387" s="453">
        <v>9400</v>
      </c>
      <c r="Z387" s="453"/>
      <c r="AA387" s="453"/>
      <c r="AB387" s="453"/>
      <c r="AC387" s="452"/>
      <c r="AD387" s="452"/>
      <c r="AE387" s="452"/>
      <c r="AF387" s="452"/>
      <c r="AG387" s="452"/>
      <c r="AH387" s="452"/>
      <c r="AI387" s="452"/>
      <c r="AJ387" s="454"/>
      <c r="AK387" s="454">
        <f>IF(AN387-Y387&gt;0,AN387-Y387,0)</f>
        <v>960</v>
      </c>
      <c r="AL387" s="454">
        <f t="shared" si="53"/>
        <v>0</v>
      </c>
      <c r="AM387" s="454">
        <v>10425</v>
      </c>
      <c r="AN387" s="454">
        <v>10360</v>
      </c>
      <c r="AO387" s="454"/>
      <c r="AP387" s="454"/>
      <c r="AQ387" s="452"/>
      <c r="AR387" s="452"/>
      <c r="AS387" s="494">
        <v>10425</v>
      </c>
      <c r="AT387" s="494">
        <v>10360</v>
      </c>
      <c r="AU387" s="495"/>
      <c r="AV387" s="495"/>
      <c r="AW387" s="10"/>
      <c r="AX387" s="119"/>
      <c r="BB387" s="119">
        <v>1</v>
      </c>
      <c r="BC387" s="119">
        <v>6</v>
      </c>
    </row>
    <row r="388" spans="1:55" ht="47.25" x14ac:dyDescent="0.25">
      <c r="A388" s="448">
        <v>16</v>
      </c>
      <c r="B388" s="449" t="s">
        <v>1380</v>
      </c>
      <c r="C388" s="450" t="s">
        <v>81</v>
      </c>
      <c r="D388" s="450"/>
      <c r="E388" s="450" t="s">
        <v>933</v>
      </c>
      <c r="F388" s="540" t="s">
        <v>1381</v>
      </c>
      <c r="G388" s="454">
        <v>6990</v>
      </c>
      <c r="H388" s="454">
        <v>6960</v>
      </c>
      <c r="I388" s="492"/>
      <c r="J388" s="492"/>
      <c r="K388" s="492"/>
      <c r="L388" s="492"/>
      <c r="M388" s="492"/>
      <c r="N388" s="492"/>
      <c r="O388" s="492"/>
      <c r="P388" s="492"/>
      <c r="Q388" s="492"/>
      <c r="R388" s="492"/>
      <c r="S388" s="492"/>
      <c r="T388" s="492"/>
      <c r="U388" s="492"/>
      <c r="V388" s="492"/>
      <c r="W388" s="492"/>
      <c r="X388" s="453"/>
      <c r="Y388" s="453"/>
      <c r="Z388" s="453"/>
      <c r="AA388" s="453"/>
      <c r="AB388" s="453"/>
      <c r="AC388" s="452"/>
      <c r="AD388" s="452"/>
      <c r="AE388" s="452"/>
      <c r="AF388" s="452"/>
      <c r="AG388" s="452"/>
      <c r="AH388" s="452"/>
      <c r="AI388" s="452"/>
      <c r="AJ388" s="454"/>
      <c r="AK388" s="454"/>
      <c r="AL388" s="454"/>
      <c r="AM388" s="454">
        <v>6990</v>
      </c>
      <c r="AN388" s="454">
        <v>6960</v>
      </c>
      <c r="AO388" s="454"/>
      <c r="AP388" s="454"/>
      <c r="AQ388" s="452"/>
      <c r="AR388" s="452"/>
      <c r="AS388" s="494">
        <v>6990</v>
      </c>
      <c r="AT388" s="494">
        <v>6960</v>
      </c>
      <c r="AU388" s="495"/>
      <c r="AV388" s="495"/>
      <c r="AW388" s="10"/>
      <c r="AX388" s="119"/>
      <c r="BB388" s="119">
        <v>1</v>
      </c>
      <c r="BC388" s="119">
        <v>6</v>
      </c>
    </row>
    <row r="389" spans="1:55" ht="47.25" x14ac:dyDescent="0.25">
      <c r="A389" s="448">
        <v>17</v>
      </c>
      <c r="B389" s="449" t="s">
        <v>1382</v>
      </c>
      <c r="C389" s="450" t="s">
        <v>81</v>
      </c>
      <c r="D389" s="450"/>
      <c r="E389" s="541" t="s">
        <v>61</v>
      </c>
      <c r="F389" s="450"/>
      <c r="G389" s="452"/>
      <c r="H389" s="452"/>
      <c r="I389" s="492"/>
      <c r="J389" s="492"/>
      <c r="K389" s="492"/>
      <c r="L389" s="492"/>
      <c r="M389" s="492"/>
      <c r="N389" s="492"/>
      <c r="O389" s="492"/>
      <c r="P389" s="492"/>
      <c r="Q389" s="492"/>
      <c r="R389" s="492"/>
      <c r="S389" s="492"/>
      <c r="T389" s="492"/>
      <c r="U389" s="492"/>
      <c r="V389" s="492"/>
      <c r="W389" s="492"/>
      <c r="X389" s="453"/>
      <c r="Y389" s="453"/>
      <c r="Z389" s="453"/>
      <c r="AA389" s="453"/>
      <c r="AB389" s="453"/>
      <c r="AC389" s="452"/>
      <c r="AD389" s="452"/>
      <c r="AE389" s="452"/>
      <c r="AF389" s="452"/>
      <c r="AG389" s="452"/>
      <c r="AH389" s="452"/>
      <c r="AI389" s="452"/>
      <c r="AJ389" s="454"/>
      <c r="AK389" s="454"/>
      <c r="AL389" s="454"/>
      <c r="AM389" s="454">
        <v>3435</v>
      </c>
      <c r="AN389" s="454">
        <v>3400</v>
      </c>
      <c r="AO389" s="454"/>
      <c r="AP389" s="454"/>
      <c r="AQ389" s="452"/>
      <c r="AR389" s="452"/>
      <c r="AS389" s="494">
        <v>3435</v>
      </c>
      <c r="AT389" s="494">
        <v>3400</v>
      </c>
      <c r="AU389" s="495"/>
      <c r="AV389" s="495"/>
      <c r="AW389" s="10"/>
      <c r="AX389" s="119"/>
      <c r="BB389" s="119">
        <v>1</v>
      </c>
      <c r="BC389" s="119">
        <v>6</v>
      </c>
    </row>
    <row r="390" spans="1:55" ht="47.25" x14ac:dyDescent="0.25">
      <c r="A390" s="448">
        <v>18</v>
      </c>
      <c r="B390" s="449" t="s">
        <v>1383</v>
      </c>
      <c r="C390" s="450" t="s">
        <v>81</v>
      </c>
      <c r="D390" s="450"/>
      <c r="E390" s="450" t="s">
        <v>933</v>
      </c>
      <c r="F390" s="450"/>
      <c r="G390" s="452"/>
      <c r="H390" s="452"/>
      <c r="I390" s="492"/>
      <c r="J390" s="492"/>
      <c r="K390" s="492"/>
      <c r="L390" s="492"/>
      <c r="M390" s="492"/>
      <c r="N390" s="492"/>
      <c r="O390" s="492"/>
      <c r="P390" s="492"/>
      <c r="Q390" s="492"/>
      <c r="R390" s="492"/>
      <c r="S390" s="492"/>
      <c r="T390" s="492"/>
      <c r="U390" s="492"/>
      <c r="V390" s="492"/>
      <c r="W390" s="492"/>
      <c r="X390" s="453">
        <v>2700</v>
      </c>
      <c r="Y390" s="453">
        <v>2700</v>
      </c>
      <c r="Z390" s="453"/>
      <c r="AA390" s="453"/>
      <c r="AB390" s="453"/>
      <c r="AC390" s="452"/>
      <c r="AD390" s="452"/>
      <c r="AE390" s="452"/>
      <c r="AF390" s="452"/>
      <c r="AG390" s="452"/>
      <c r="AH390" s="452"/>
      <c r="AI390" s="452"/>
      <c r="AJ390" s="454"/>
      <c r="AK390" s="454">
        <f t="shared" ref="AK390:AK415" si="54">IF(AN390-Y390&gt;0,AM390-Y390,0)</f>
        <v>0</v>
      </c>
      <c r="AL390" s="454">
        <f t="shared" ref="AL390:AL424" si="55">IF(Y390-AN390&gt;0,Y390-AN390,0)</f>
        <v>0</v>
      </c>
      <c r="AM390" s="454">
        <v>2730</v>
      </c>
      <c r="AN390" s="454">
        <v>2700</v>
      </c>
      <c r="AO390" s="454"/>
      <c r="AP390" s="454"/>
      <c r="AQ390" s="452"/>
      <c r="AR390" s="452"/>
      <c r="AS390" s="494">
        <v>2730</v>
      </c>
      <c r="AT390" s="494">
        <v>2700</v>
      </c>
      <c r="AU390" s="495"/>
      <c r="AV390" s="495"/>
      <c r="AW390" s="10"/>
      <c r="AX390" s="119"/>
      <c r="BB390" s="119">
        <v>1</v>
      </c>
      <c r="BC390" s="119">
        <v>6</v>
      </c>
    </row>
    <row r="391" spans="1:55" ht="47.25" x14ac:dyDescent="0.25">
      <c r="A391" s="448">
        <v>19</v>
      </c>
      <c r="B391" s="449" t="s">
        <v>1384</v>
      </c>
      <c r="C391" s="450" t="s">
        <v>81</v>
      </c>
      <c r="D391" s="450" t="s">
        <v>1385</v>
      </c>
      <c r="E391" s="450" t="s">
        <v>61</v>
      </c>
      <c r="F391" s="450"/>
      <c r="G391" s="452"/>
      <c r="H391" s="452"/>
      <c r="I391" s="492"/>
      <c r="J391" s="492"/>
      <c r="K391" s="492"/>
      <c r="L391" s="492"/>
      <c r="M391" s="492"/>
      <c r="N391" s="492"/>
      <c r="O391" s="492"/>
      <c r="P391" s="492"/>
      <c r="Q391" s="492"/>
      <c r="R391" s="492"/>
      <c r="S391" s="492"/>
      <c r="T391" s="492"/>
      <c r="U391" s="492"/>
      <c r="V391" s="492"/>
      <c r="W391" s="492"/>
      <c r="X391" s="453">
        <v>450</v>
      </c>
      <c r="Y391" s="453">
        <v>450</v>
      </c>
      <c r="Z391" s="453"/>
      <c r="AA391" s="453"/>
      <c r="AB391" s="453"/>
      <c r="AC391" s="452"/>
      <c r="AD391" s="452"/>
      <c r="AE391" s="452"/>
      <c r="AF391" s="452"/>
      <c r="AG391" s="452"/>
      <c r="AH391" s="452"/>
      <c r="AI391" s="452"/>
      <c r="AJ391" s="454"/>
      <c r="AK391" s="454">
        <f t="shared" si="54"/>
        <v>0</v>
      </c>
      <c r="AL391" s="454">
        <f t="shared" si="55"/>
        <v>0</v>
      </c>
      <c r="AM391" s="454">
        <v>455</v>
      </c>
      <c r="AN391" s="454">
        <v>450</v>
      </c>
      <c r="AO391" s="454"/>
      <c r="AP391" s="454"/>
      <c r="AQ391" s="452"/>
      <c r="AR391" s="452"/>
      <c r="AS391" s="494">
        <v>455</v>
      </c>
      <c r="AT391" s="494">
        <v>450</v>
      </c>
      <c r="AU391" s="495"/>
      <c r="AV391" s="495"/>
      <c r="AW391" s="10"/>
      <c r="AX391" s="119"/>
      <c r="BB391" s="119">
        <v>1</v>
      </c>
      <c r="BC391" s="119">
        <v>6</v>
      </c>
    </row>
    <row r="392" spans="1:55" ht="47.25" x14ac:dyDescent="0.25">
      <c r="A392" s="448">
        <v>20</v>
      </c>
      <c r="B392" s="449" t="s">
        <v>1386</v>
      </c>
      <c r="C392" s="450" t="s">
        <v>81</v>
      </c>
      <c r="D392" s="450"/>
      <c r="E392" s="450" t="s">
        <v>933</v>
      </c>
      <c r="F392" s="450"/>
      <c r="G392" s="452"/>
      <c r="H392" s="452"/>
      <c r="I392" s="492"/>
      <c r="J392" s="492"/>
      <c r="K392" s="492"/>
      <c r="L392" s="492"/>
      <c r="M392" s="492"/>
      <c r="N392" s="492"/>
      <c r="O392" s="492"/>
      <c r="P392" s="492"/>
      <c r="Q392" s="492"/>
      <c r="R392" s="492"/>
      <c r="S392" s="492"/>
      <c r="T392" s="492"/>
      <c r="U392" s="492"/>
      <c r="V392" s="492"/>
      <c r="W392" s="492"/>
      <c r="X392" s="453">
        <v>2000</v>
      </c>
      <c r="Y392" s="453">
        <v>1900</v>
      </c>
      <c r="Z392" s="453"/>
      <c r="AA392" s="453"/>
      <c r="AB392" s="453"/>
      <c r="AC392" s="452"/>
      <c r="AD392" s="452"/>
      <c r="AE392" s="452"/>
      <c r="AF392" s="452"/>
      <c r="AG392" s="452"/>
      <c r="AH392" s="452"/>
      <c r="AI392" s="452"/>
      <c r="AJ392" s="454"/>
      <c r="AK392" s="454">
        <f t="shared" si="54"/>
        <v>0</v>
      </c>
      <c r="AL392" s="454">
        <f t="shared" si="55"/>
        <v>0</v>
      </c>
      <c r="AM392" s="454">
        <v>1920</v>
      </c>
      <c r="AN392" s="454">
        <v>1900</v>
      </c>
      <c r="AO392" s="454"/>
      <c r="AP392" s="454"/>
      <c r="AQ392" s="452"/>
      <c r="AR392" s="452"/>
      <c r="AS392" s="494">
        <v>1920</v>
      </c>
      <c r="AT392" s="494">
        <v>1900</v>
      </c>
      <c r="AU392" s="495"/>
      <c r="AV392" s="495"/>
      <c r="AW392" s="10"/>
      <c r="AX392" s="119"/>
      <c r="BB392" s="119">
        <v>1</v>
      </c>
      <c r="BC392" s="119">
        <v>6</v>
      </c>
    </row>
    <row r="393" spans="1:55" ht="47.25" x14ac:dyDescent="0.25">
      <c r="A393" s="448">
        <v>21</v>
      </c>
      <c r="B393" s="449" t="s">
        <v>1387</v>
      </c>
      <c r="C393" s="450" t="s">
        <v>79</v>
      </c>
      <c r="D393" s="450"/>
      <c r="E393" s="450" t="s">
        <v>933</v>
      </c>
      <c r="F393" s="450"/>
      <c r="G393" s="452"/>
      <c r="H393" s="452"/>
      <c r="I393" s="492"/>
      <c r="J393" s="492"/>
      <c r="K393" s="492"/>
      <c r="L393" s="492"/>
      <c r="M393" s="492"/>
      <c r="N393" s="492"/>
      <c r="O393" s="492"/>
      <c r="P393" s="492"/>
      <c r="Q393" s="492"/>
      <c r="R393" s="492"/>
      <c r="S393" s="492"/>
      <c r="T393" s="492"/>
      <c r="U393" s="492"/>
      <c r="V393" s="492"/>
      <c r="W393" s="492"/>
      <c r="X393" s="453">
        <v>2900</v>
      </c>
      <c r="Y393" s="453">
        <v>2800</v>
      </c>
      <c r="Z393" s="453"/>
      <c r="AA393" s="453"/>
      <c r="AB393" s="453"/>
      <c r="AC393" s="452"/>
      <c r="AD393" s="452"/>
      <c r="AE393" s="452"/>
      <c r="AF393" s="452"/>
      <c r="AG393" s="452"/>
      <c r="AH393" s="452"/>
      <c r="AI393" s="452"/>
      <c r="AJ393" s="454"/>
      <c r="AK393" s="454">
        <f t="shared" si="54"/>
        <v>0</v>
      </c>
      <c r="AL393" s="454">
        <f t="shared" si="55"/>
        <v>0</v>
      </c>
      <c r="AM393" s="454">
        <v>2830</v>
      </c>
      <c r="AN393" s="454">
        <v>2800</v>
      </c>
      <c r="AO393" s="454"/>
      <c r="AP393" s="454"/>
      <c r="AQ393" s="452"/>
      <c r="AR393" s="452"/>
      <c r="AS393" s="494">
        <v>2830</v>
      </c>
      <c r="AT393" s="494">
        <v>2800</v>
      </c>
      <c r="AU393" s="495"/>
      <c r="AV393" s="495"/>
      <c r="AW393" s="10"/>
      <c r="AX393" s="119"/>
      <c r="BB393" s="119">
        <v>1</v>
      </c>
      <c r="BC393" s="119">
        <v>6</v>
      </c>
    </row>
    <row r="394" spans="1:55" ht="31.5" x14ac:dyDescent="0.25">
      <c r="A394" s="448">
        <v>22</v>
      </c>
      <c r="B394" s="449" t="s">
        <v>1388</v>
      </c>
      <c r="C394" s="450" t="s">
        <v>83</v>
      </c>
      <c r="D394" s="450"/>
      <c r="E394" s="450" t="s">
        <v>933</v>
      </c>
      <c r="F394" s="450"/>
      <c r="G394" s="452"/>
      <c r="H394" s="452"/>
      <c r="I394" s="492"/>
      <c r="J394" s="492"/>
      <c r="K394" s="492"/>
      <c r="L394" s="492"/>
      <c r="M394" s="492"/>
      <c r="N394" s="492"/>
      <c r="O394" s="492"/>
      <c r="P394" s="492"/>
      <c r="Q394" s="492"/>
      <c r="R394" s="492"/>
      <c r="S394" s="492"/>
      <c r="T394" s="492"/>
      <c r="U394" s="492"/>
      <c r="V394" s="492"/>
      <c r="W394" s="492"/>
      <c r="X394" s="453">
        <v>2900</v>
      </c>
      <c r="Y394" s="453">
        <v>2800</v>
      </c>
      <c r="Z394" s="453"/>
      <c r="AA394" s="453"/>
      <c r="AB394" s="453"/>
      <c r="AC394" s="452"/>
      <c r="AD394" s="452"/>
      <c r="AE394" s="452"/>
      <c r="AF394" s="452"/>
      <c r="AG394" s="452"/>
      <c r="AH394" s="452"/>
      <c r="AI394" s="452"/>
      <c r="AJ394" s="454"/>
      <c r="AK394" s="454">
        <f t="shared" si="54"/>
        <v>0</v>
      </c>
      <c r="AL394" s="454">
        <f t="shared" si="55"/>
        <v>0</v>
      </c>
      <c r="AM394" s="454">
        <v>2830</v>
      </c>
      <c r="AN394" s="454">
        <v>2800</v>
      </c>
      <c r="AO394" s="454"/>
      <c r="AP394" s="454"/>
      <c r="AQ394" s="452"/>
      <c r="AR394" s="452"/>
      <c r="AS394" s="494">
        <v>2830</v>
      </c>
      <c r="AT394" s="494">
        <v>2800</v>
      </c>
      <c r="AU394" s="495"/>
      <c r="AV394" s="495"/>
      <c r="AW394" s="10"/>
      <c r="AX394" s="119"/>
      <c r="BB394" s="119">
        <v>1</v>
      </c>
      <c r="BC394" s="119">
        <v>6</v>
      </c>
    </row>
    <row r="395" spans="1:55" ht="31.5" x14ac:dyDescent="0.25">
      <c r="A395" s="448">
        <v>23</v>
      </c>
      <c r="B395" s="449" t="s">
        <v>1389</v>
      </c>
      <c r="C395" s="450" t="s">
        <v>79</v>
      </c>
      <c r="D395" s="450"/>
      <c r="E395" s="450" t="s">
        <v>933</v>
      </c>
      <c r="F395" s="450"/>
      <c r="G395" s="452"/>
      <c r="H395" s="452"/>
      <c r="I395" s="492"/>
      <c r="J395" s="492"/>
      <c r="K395" s="492"/>
      <c r="L395" s="492"/>
      <c r="M395" s="492"/>
      <c r="N395" s="492"/>
      <c r="O395" s="492"/>
      <c r="P395" s="492"/>
      <c r="Q395" s="492"/>
      <c r="R395" s="492"/>
      <c r="S395" s="492"/>
      <c r="T395" s="492"/>
      <c r="U395" s="492"/>
      <c r="V395" s="492"/>
      <c r="W395" s="492"/>
      <c r="X395" s="453">
        <v>2900</v>
      </c>
      <c r="Y395" s="453">
        <v>2800</v>
      </c>
      <c r="Z395" s="453"/>
      <c r="AA395" s="453"/>
      <c r="AB395" s="453"/>
      <c r="AC395" s="452"/>
      <c r="AD395" s="452"/>
      <c r="AE395" s="452"/>
      <c r="AF395" s="452"/>
      <c r="AG395" s="452"/>
      <c r="AH395" s="452"/>
      <c r="AI395" s="452"/>
      <c r="AJ395" s="454"/>
      <c r="AK395" s="454">
        <f t="shared" si="54"/>
        <v>0</v>
      </c>
      <c r="AL395" s="454">
        <f t="shared" si="55"/>
        <v>0</v>
      </c>
      <c r="AM395" s="454">
        <v>2830</v>
      </c>
      <c r="AN395" s="454">
        <v>2800</v>
      </c>
      <c r="AO395" s="454"/>
      <c r="AP395" s="454"/>
      <c r="AQ395" s="452"/>
      <c r="AR395" s="452"/>
      <c r="AS395" s="494">
        <v>2830</v>
      </c>
      <c r="AT395" s="494">
        <v>2800</v>
      </c>
      <c r="AU395" s="495"/>
      <c r="AV395" s="495"/>
      <c r="AW395" s="10"/>
      <c r="AX395" s="119"/>
      <c r="BB395" s="119">
        <v>1</v>
      </c>
      <c r="BC395" s="119">
        <v>6</v>
      </c>
    </row>
    <row r="396" spans="1:55" ht="31.5" x14ac:dyDescent="0.25">
      <c r="A396" s="448">
        <v>24</v>
      </c>
      <c r="B396" s="449" t="s">
        <v>1390</v>
      </c>
      <c r="C396" s="450" t="s">
        <v>1356</v>
      </c>
      <c r="D396" s="450"/>
      <c r="E396" s="450" t="s">
        <v>933</v>
      </c>
      <c r="F396" s="450"/>
      <c r="G396" s="452"/>
      <c r="H396" s="452"/>
      <c r="I396" s="492"/>
      <c r="J396" s="492"/>
      <c r="K396" s="492"/>
      <c r="L396" s="492"/>
      <c r="M396" s="492"/>
      <c r="N396" s="492"/>
      <c r="O396" s="492"/>
      <c r="P396" s="492"/>
      <c r="Q396" s="492"/>
      <c r="R396" s="492"/>
      <c r="S396" s="492"/>
      <c r="T396" s="492"/>
      <c r="U396" s="492"/>
      <c r="V396" s="492"/>
      <c r="W396" s="492"/>
      <c r="X396" s="453">
        <v>2000</v>
      </c>
      <c r="Y396" s="453">
        <v>1900</v>
      </c>
      <c r="Z396" s="453"/>
      <c r="AA396" s="453"/>
      <c r="AB396" s="453"/>
      <c r="AC396" s="452"/>
      <c r="AD396" s="452"/>
      <c r="AE396" s="452"/>
      <c r="AF396" s="452"/>
      <c r="AG396" s="452"/>
      <c r="AH396" s="452"/>
      <c r="AI396" s="452"/>
      <c r="AJ396" s="454"/>
      <c r="AK396" s="454">
        <f t="shared" si="54"/>
        <v>0</v>
      </c>
      <c r="AL396" s="454">
        <f t="shared" si="55"/>
        <v>0</v>
      </c>
      <c r="AM396" s="454">
        <v>1920</v>
      </c>
      <c r="AN396" s="454">
        <v>1900</v>
      </c>
      <c r="AO396" s="454"/>
      <c r="AP396" s="454"/>
      <c r="AQ396" s="452"/>
      <c r="AR396" s="452"/>
      <c r="AS396" s="494">
        <v>1920</v>
      </c>
      <c r="AT396" s="494">
        <v>1900</v>
      </c>
      <c r="AU396" s="495"/>
      <c r="AV396" s="495"/>
      <c r="AW396" s="10"/>
      <c r="AX396" s="119"/>
      <c r="BB396" s="119">
        <v>1</v>
      </c>
      <c r="BC396" s="119">
        <v>6</v>
      </c>
    </row>
    <row r="397" spans="1:55" ht="31.5" x14ac:dyDescent="0.25">
      <c r="A397" s="448">
        <v>25</v>
      </c>
      <c r="B397" s="449" t="s">
        <v>1391</v>
      </c>
      <c r="C397" s="450" t="s">
        <v>83</v>
      </c>
      <c r="D397" s="450"/>
      <c r="E397" s="450" t="s">
        <v>933</v>
      </c>
      <c r="F397" s="450"/>
      <c r="G397" s="452"/>
      <c r="H397" s="452"/>
      <c r="I397" s="492"/>
      <c r="J397" s="492"/>
      <c r="K397" s="492"/>
      <c r="L397" s="492"/>
      <c r="M397" s="492"/>
      <c r="N397" s="492"/>
      <c r="O397" s="492"/>
      <c r="P397" s="492"/>
      <c r="Q397" s="492"/>
      <c r="R397" s="492"/>
      <c r="S397" s="492"/>
      <c r="T397" s="492"/>
      <c r="U397" s="492"/>
      <c r="V397" s="492"/>
      <c r="W397" s="492"/>
      <c r="X397" s="453">
        <v>2600</v>
      </c>
      <c r="Y397" s="453">
        <v>2500</v>
      </c>
      <c r="Z397" s="453"/>
      <c r="AA397" s="453"/>
      <c r="AB397" s="453"/>
      <c r="AC397" s="452"/>
      <c r="AD397" s="452"/>
      <c r="AE397" s="452"/>
      <c r="AF397" s="452"/>
      <c r="AG397" s="452"/>
      <c r="AH397" s="452"/>
      <c r="AI397" s="452"/>
      <c r="AJ397" s="454"/>
      <c r="AK397" s="454">
        <f t="shared" si="54"/>
        <v>0</v>
      </c>
      <c r="AL397" s="454">
        <f t="shared" si="55"/>
        <v>0</v>
      </c>
      <c r="AM397" s="454">
        <v>2530</v>
      </c>
      <c r="AN397" s="454">
        <v>2500</v>
      </c>
      <c r="AO397" s="454"/>
      <c r="AP397" s="454"/>
      <c r="AQ397" s="452"/>
      <c r="AR397" s="452"/>
      <c r="AS397" s="494">
        <v>2530</v>
      </c>
      <c r="AT397" s="494">
        <v>2500</v>
      </c>
      <c r="AU397" s="495"/>
      <c r="AV397" s="495"/>
      <c r="AW397" s="10"/>
      <c r="AX397" s="119"/>
      <c r="BB397" s="119">
        <v>1</v>
      </c>
      <c r="BC397" s="119">
        <v>6</v>
      </c>
    </row>
    <row r="398" spans="1:55" ht="31.5" x14ac:dyDescent="0.25">
      <c r="A398" s="448">
        <v>26</v>
      </c>
      <c r="B398" s="449" t="s">
        <v>1392</v>
      </c>
      <c r="C398" s="450" t="s">
        <v>79</v>
      </c>
      <c r="D398" s="450"/>
      <c r="E398" s="450" t="s">
        <v>933</v>
      </c>
      <c r="F398" s="450"/>
      <c r="G398" s="452"/>
      <c r="H398" s="452"/>
      <c r="I398" s="492"/>
      <c r="J398" s="492"/>
      <c r="K398" s="492"/>
      <c r="L398" s="492"/>
      <c r="M398" s="492"/>
      <c r="N398" s="492"/>
      <c r="O398" s="492"/>
      <c r="P398" s="492"/>
      <c r="Q398" s="492"/>
      <c r="R398" s="492"/>
      <c r="S398" s="492"/>
      <c r="T398" s="492"/>
      <c r="U398" s="492"/>
      <c r="V398" s="492"/>
      <c r="W398" s="492"/>
      <c r="X398" s="453">
        <v>700</v>
      </c>
      <c r="Y398" s="453">
        <v>700</v>
      </c>
      <c r="Z398" s="453"/>
      <c r="AA398" s="453"/>
      <c r="AB398" s="453"/>
      <c r="AC398" s="452"/>
      <c r="AD398" s="452"/>
      <c r="AE398" s="452"/>
      <c r="AF398" s="452"/>
      <c r="AG398" s="452"/>
      <c r="AH398" s="452"/>
      <c r="AI398" s="452"/>
      <c r="AJ398" s="454"/>
      <c r="AK398" s="454">
        <f t="shared" si="54"/>
        <v>0</v>
      </c>
      <c r="AL398" s="454">
        <f t="shared" si="55"/>
        <v>0</v>
      </c>
      <c r="AM398" s="454">
        <v>707</v>
      </c>
      <c r="AN398" s="454">
        <v>700</v>
      </c>
      <c r="AO398" s="454"/>
      <c r="AP398" s="454"/>
      <c r="AQ398" s="452"/>
      <c r="AR398" s="452"/>
      <c r="AS398" s="494">
        <v>707</v>
      </c>
      <c r="AT398" s="494">
        <v>700</v>
      </c>
      <c r="AU398" s="495"/>
      <c r="AV398" s="495"/>
      <c r="AW398" s="10"/>
      <c r="AX398" s="119"/>
      <c r="BB398" s="119">
        <v>1</v>
      </c>
      <c r="BC398" s="119">
        <v>6</v>
      </c>
    </row>
    <row r="399" spans="1:55" ht="31.5" x14ac:dyDescent="0.25">
      <c r="A399" s="448">
        <v>27</v>
      </c>
      <c r="B399" s="449" t="s">
        <v>1393</v>
      </c>
      <c r="C399" s="450" t="s">
        <v>1394</v>
      </c>
      <c r="D399" s="450"/>
      <c r="E399" s="450" t="s">
        <v>933</v>
      </c>
      <c r="F399" s="450"/>
      <c r="G399" s="452"/>
      <c r="H399" s="452"/>
      <c r="I399" s="492"/>
      <c r="J399" s="492"/>
      <c r="K399" s="492"/>
      <c r="L399" s="492"/>
      <c r="M399" s="492"/>
      <c r="N399" s="492"/>
      <c r="O399" s="492"/>
      <c r="P399" s="492"/>
      <c r="Q399" s="492"/>
      <c r="R399" s="492"/>
      <c r="S399" s="492"/>
      <c r="T399" s="492"/>
      <c r="U399" s="492"/>
      <c r="V399" s="492"/>
      <c r="W399" s="492"/>
      <c r="X399" s="453">
        <v>1500</v>
      </c>
      <c r="Y399" s="453">
        <v>1400</v>
      </c>
      <c r="Z399" s="453"/>
      <c r="AA399" s="453"/>
      <c r="AB399" s="453"/>
      <c r="AC399" s="452"/>
      <c r="AD399" s="452"/>
      <c r="AE399" s="452"/>
      <c r="AF399" s="452"/>
      <c r="AG399" s="452"/>
      <c r="AH399" s="452"/>
      <c r="AI399" s="452"/>
      <c r="AJ399" s="454"/>
      <c r="AK399" s="454">
        <f t="shared" si="54"/>
        <v>0</v>
      </c>
      <c r="AL399" s="454">
        <f t="shared" si="55"/>
        <v>0</v>
      </c>
      <c r="AM399" s="454">
        <v>1415</v>
      </c>
      <c r="AN399" s="454">
        <v>1400</v>
      </c>
      <c r="AO399" s="454"/>
      <c r="AP399" s="454"/>
      <c r="AQ399" s="452"/>
      <c r="AR399" s="452"/>
      <c r="AS399" s="494">
        <v>1415</v>
      </c>
      <c r="AT399" s="494">
        <v>1400</v>
      </c>
      <c r="AU399" s="495"/>
      <c r="AV399" s="495"/>
      <c r="AW399" s="10"/>
      <c r="AX399" s="119"/>
      <c r="BB399" s="119">
        <v>1</v>
      </c>
      <c r="BC399" s="119">
        <v>4</v>
      </c>
    </row>
    <row r="400" spans="1:55" ht="31.5" x14ac:dyDescent="0.25">
      <c r="A400" s="448">
        <v>28</v>
      </c>
      <c r="B400" s="449" t="s">
        <v>1395</v>
      </c>
      <c r="C400" s="450" t="s">
        <v>1396</v>
      </c>
      <c r="D400" s="450"/>
      <c r="E400" s="450" t="s">
        <v>933</v>
      </c>
      <c r="F400" s="450"/>
      <c r="G400" s="452"/>
      <c r="H400" s="452"/>
      <c r="I400" s="492"/>
      <c r="J400" s="492"/>
      <c r="K400" s="492"/>
      <c r="L400" s="492"/>
      <c r="M400" s="492"/>
      <c r="N400" s="492"/>
      <c r="O400" s="492"/>
      <c r="P400" s="492"/>
      <c r="Q400" s="492"/>
      <c r="R400" s="492"/>
      <c r="S400" s="492"/>
      <c r="T400" s="492"/>
      <c r="U400" s="492"/>
      <c r="V400" s="492"/>
      <c r="W400" s="492"/>
      <c r="X400" s="453">
        <v>1500</v>
      </c>
      <c r="Y400" s="453">
        <v>1400</v>
      </c>
      <c r="Z400" s="453"/>
      <c r="AA400" s="453"/>
      <c r="AB400" s="453"/>
      <c r="AC400" s="452"/>
      <c r="AD400" s="452"/>
      <c r="AE400" s="452"/>
      <c r="AF400" s="452"/>
      <c r="AG400" s="452"/>
      <c r="AH400" s="452"/>
      <c r="AI400" s="452"/>
      <c r="AJ400" s="454"/>
      <c r="AK400" s="454">
        <f t="shared" si="54"/>
        <v>0</v>
      </c>
      <c r="AL400" s="454">
        <f t="shared" si="55"/>
        <v>0</v>
      </c>
      <c r="AM400" s="454">
        <v>1415</v>
      </c>
      <c r="AN400" s="454">
        <v>1400</v>
      </c>
      <c r="AO400" s="454"/>
      <c r="AP400" s="454"/>
      <c r="AQ400" s="452"/>
      <c r="AR400" s="452"/>
      <c r="AS400" s="494">
        <v>1415</v>
      </c>
      <c r="AT400" s="494">
        <v>1400</v>
      </c>
      <c r="AU400" s="495"/>
      <c r="AV400" s="495"/>
      <c r="AW400" s="10"/>
      <c r="AX400" s="119"/>
      <c r="BB400" s="119">
        <v>1</v>
      </c>
      <c r="BC400" s="119">
        <v>4</v>
      </c>
    </row>
    <row r="401" spans="1:55" ht="47.25" x14ac:dyDescent="0.25">
      <c r="A401" s="448">
        <v>29</v>
      </c>
      <c r="B401" s="449" t="s">
        <v>1397</v>
      </c>
      <c r="C401" s="450" t="s">
        <v>81</v>
      </c>
      <c r="D401" s="450"/>
      <c r="E401" s="450" t="s">
        <v>933</v>
      </c>
      <c r="F401" s="450"/>
      <c r="G401" s="452"/>
      <c r="H401" s="452"/>
      <c r="I401" s="492"/>
      <c r="J401" s="492"/>
      <c r="K401" s="492"/>
      <c r="L401" s="492"/>
      <c r="M401" s="492"/>
      <c r="N401" s="492"/>
      <c r="O401" s="492"/>
      <c r="P401" s="492"/>
      <c r="Q401" s="492"/>
      <c r="R401" s="492"/>
      <c r="S401" s="492"/>
      <c r="T401" s="492"/>
      <c r="U401" s="492"/>
      <c r="V401" s="492"/>
      <c r="W401" s="492"/>
      <c r="X401" s="453">
        <v>2100</v>
      </c>
      <c r="Y401" s="453">
        <v>2000</v>
      </c>
      <c r="Z401" s="453"/>
      <c r="AA401" s="453"/>
      <c r="AB401" s="453"/>
      <c r="AC401" s="452"/>
      <c r="AD401" s="452"/>
      <c r="AE401" s="452"/>
      <c r="AF401" s="452"/>
      <c r="AG401" s="452"/>
      <c r="AH401" s="452"/>
      <c r="AI401" s="452"/>
      <c r="AJ401" s="454"/>
      <c r="AK401" s="454">
        <f t="shared" si="54"/>
        <v>0</v>
      </c>
      <c r="AL401" s="454">
        <f t="shared" si="55"/>
        <v>0</v>
      </c>
      <c r="AM401" s="454">
        <v>2020</v>
      </c>
      <c r="AN401" s="454">
        <v>2000</v>
      </c>
      <c r="AO401" s="454"/>
      <c r="AP401" s="454"/>
      <c r="AQ401" s="452"/>
      <c r="AR401" s="452"/>
      <c r="AS401" s="494">
        <v>2020</v>
      </c>
      <c r="AT401" s="494">
        <v>2000</v>
      </c>
      <c r="AU401" s="495"/>
      <c r="AV401" s="495"/>
      <c r="AW401" s="147"/>
      <c r="AX401" s="119"/>
      <c r="BB401" s="119">
        <v>1</v>
      </c>
      <c r="BC401" s="119">
        <v>3</v>
      </c>
    </row>
    <row r="402" spans="1:55" ht="47.25" x14ac:dyDescent="0.25">
      <c r="A402" s="448">
        <v>30</v>
      </c>
      <c r="B402" s="449" t="s">
        <v>1398</v>
      </c>
      <c r="C402" s="450" t="s">
        <v>81</v>
      </c>
      <c r="D402" s="450"/>
      <c r="E402" s="450" t="s">
        <v>933</v>
      </c>
      <c r="F402" s="450"/>
      <c r="G402" s="452"/>
      <c r="H402" s="452"/>
      <c r="I402" s="492"/>
      <c r="J402" s="492"/>
      <c r="K402" s="492"/>
      <c r="L402" s="492"/>
      <c r="M402" s="492"/>
      <c r="N402" s="492"/>
      <c r="O402" s="492"/>
      <c r="P402" s="492"/>
      <c r="Q402" s="492"/>
      <c r="R402" s="492"/>
      <c r="S402" s="492"/>
      <c r="T402" s="492"/>
      <c r="U402" s="492"/>
      <c r="V402" s="492"/>
      <c r="W402" s="492"/>
      <c r="X402" s="453">
        <v>2100</v>
      </c>
      <c r="Y402" s="453">
        <v>2000</v>
      </c>
      <c r="Z402" s="453"/>
      <c r="AA402" s="453"/>
      <c r="AB402" s="453"/>
      <c r="AC402" s="452"/>
      <c r="AD402" s="452"/>
      <c r="AE402" s="452"/>
      <c r="AF402" s="452"/>
      <c r="AG402" s="452"/>
      <c r="AH402" s="452"/>
      <c r="AI402" s="452"/>
      <c r="AJ402" s="454"/>
      <c r="AK402" s="454">
        <f t="shared" si="54"/>
        <v>0</v>
      </c>
      <c r="AL402" s="454">
        <f t="shared" si="55"/>
        <v>0</v>
      </c>
      <c r="AM402" s="454">
        <v>2020</v>
      </c>
      <c r="AN402" s="454">
        <v>2000</v>
      </c>
      <c r="AO402" s="454"/>
      <c r="AP402" s="454"/>
      <c r="AQ402" s="452"/>
      <c r="AR402" s="452"/>
      <c r="AS402" s="494">
        <v>2020</v>
      </c>
      <c r="AT402" s="494">
        <v>2000</v>
      </c>
      <c r="AU402" s="495"/>
      <c r="AV402" s="495"/>
      <c r="AW402" s="10"/>
      <c r="AX402" s="119"/>
      <c r="BB402" s="119">
        <v>1</v>
      </c>
      <c r="BC402" s="119">
        <v>3</v>
      </c>
    </row>
    <row r="403" spans="1:55" ht="47.25" x14ac:dyDescent="0.25">
      <c r="A403" s="448">
        <v>31</v>
      </c>
      <c r="B403" s="449" t="s">
        <v>1399</v>
      </c>
      <c r="C403" s="450" t="s">
        <v>81</v>
      </c>
      <c r="D403" s="450"/>
      <c r="E403" s="450" t="s">
        <v>933</v>
      </c>
      <c r="F403" s="450"/>
      <c r="G403" s="452"/>
      <c r="H403" s="452"/>
      <c r="I403" s="492"/>
      <c r="J403" s="492"/>
      <c r="K403" s="492"/>
      <c r="L403" s="492"/>
      <c r="M403" s="492"/>
      <c r="N403" s="492"/>
      <c r="O403" s="492"/>
      <c r="P403" s="492"/>
      <c r="Q403" s="492"/>
      <c r="R403" s="492"/>
      <c r="S403" s="492"/>
      <c r="T403" s="492"/>
      <c r="U403" s="492"/>
      <c r="V403" s="492"/>
      <c r="W403" s="492"/>
      <c r="X403" s="453">
        <v>1150</v>
      </c>
      <c r="Y403" s="453">
        <v>1128</v>
      </c>
      <c r="Z403" s="453"/>
      <c r="AA403" s="453"/>
      <c r="AB403" s="453"/>
      <c r="AC403" s="452"/>
      <c r="AD403" s="452"/>
      <c r="AE403" s="452"/>
      <c r="AF403" s="452"/>
      <c r="AG403" s="452"/>
      <c r="AH403" s="452"/>
      <c r="AI403" s="452"/>
      <c r="AJ403" s="454"/>
      <c r="AK403" s="454">
        <f t="shared" si="54"/>
        <v>0</v>
      </c>
      <c r="AL403" s="454">
        <f t="shared" si="55"/>
        <v>0</v>
      </c>
      <c r="AM403" s="454">
        <v>1140</v>
      </c>
      <c r="AN403" s="454">
        <v>1128</v>
      </c>
      <c r="AO403" s="454"/>
      <c r="AP403" s="454"/>
      <c r="AQ403" s="452"/>
      <c r="AR403" s="452"/>
      <c r="AS403" s="494">
        <v>1140</v>
      </c>
      <c r="AT403" s="494">
        <v>1128</v>
      </c>
      <c r="AU403" s="495"/>
      <c r="AV403" s="495"/>
      <c r="AW403" s="147"/>
      <c r="AX403" s="119"/>
      <c r="BB403" s="119">
        <v>1</v>
      </c>
      <c r="BC403" s="119">
        <v>3</v>
      </c>
    </row>
    <row r="404" spans="1:55" ht="47.25" x14ac:dyDescent="0.25">
      <c r="A404" s="448">
        <v>32</v>
      </c>
      <c r="B404" s="449" t="s">
        <v>1400</v>
      </c>
      <c r="C404" s="450" t="s">
        <v>81</v>
      </c>
      <c r="D404" s="450"/>
      <c r="E404" s="450" t="s">
        <v>933</v>
      </c>
      <c r="F404" s="450"/>
      <c r="G404" s="452"/>
      <c r="H404" s="452"/>
      <c r="I404" s="492"/>
      <c r="J404" s="492"/>
      <c r="K404" s="492"/>
      <c r="L404" s="492"/>
      <c r="M404" s="492"/>
      <c r="N404" s="492"/>
      <c r="O404" s="492"/>
      <c r="P404" s="492"/>
      <c r="Q404" s="492"/>
      <c r="R404" s="492"/>
      <c r="S404" s="492"/>
      <c r="T404" s="492"/>
      <c r="U404" s="492"/>
      <c r="V404" s="492"/>
      <c r="W404" s="492"/>
      <c r="X404" s="453">
        <v>2100</v>
      </c>
      <c r="Y404" s="453">
        <v>2000</v>
      </c>
      <c r="Z404" s="453"/>
      <c r="AA404" s="453"/>
      <c r="AB404" s="453"/>
      <c r="AC404" s="452"/>
      <c r="AD404" s="452"/>
      <c r="AE404" s="452"/>
      <c r="AF404" s="452"/>
      <c r="AG404" s="452"/>
      <c r="AH404" s="452"/>
      <c r="AI404" s="452"/>
      <c r="AJ404" s="454"/>
      <c r="AK404" s="454">
        <f t="shared" si="54"/>
        <v>0</v>
      </c>
      <c r="AL404" s="454">
        <f t="shared" si="55"/>
        <v>0</v>
      </c>
      <c r="AM404" s="454">
        <v>2020</v>
      </c>
      <c r="AN404" s="454">
        <v>2000</v>
      </c>
      <c r="AO404" s="454"/>
      <c r="AP404" s="454"/>
      <c r="AQ404" s="452"/>
      <c r="AR404" s="452"/>
      <c r="AS404" s="494">
        <v>2020</v>
      </c>
      <c r="AT404" s="494">
        <v>2000</v>
      </c>
      <c r="AU404" s="495"/>
      <c r="AV404" s="495"/>
      <c r="AW404" s="10"/>
      <c r="AX404" s="119"/>
      <c r="BB404" s="119">
        <v>1</v>
      </c>
      <c r="BC404" s="119">
        <v>3</v>
      </c>
    </row>
    <row r="405" spans="1:55" ht="47.25" x14ac:dyDescent="0.25">
      <c r="A405" s="448">
        <v>33</v>
      </c>
      <c r="B405" s="449" t="s">
        <v>1401</v>
      </c>
      <c r="C405" s="450" t="s">
        <v>81</v>
      </c>
      <c r="D405" s="450"/>
      <c r="E405" s="450" t="s">
        <v>933</v>
      </c>
      <c r="F405" s="450"/>
      <c r="G405" s="452"/>
      <c r="H405" s="452"/>
      <c r="I405" s="492"/>
      <c r="J405" s="492"/>
      <c r="K405" s="492"/>
      <c r="L405" s="492"/>
      <c r="M405" s="492"/>
      <c r="N405" s="492"/>
      <c r="O405" s="492"/>
      <c r="P405" s="492"/>
      <c r="Q405" s="492"/>
      <c r="R405" s="492"/>
      <c r="S405" s="492"/>
      <c r="T405" s="492"/>
      <c r="U405" s="492"/>
      <c r="V405" s="492"/>
      <c r="W405" s="492"/>
      <c r="X405" s="453">
        <v>2100</v>
      </c>
      <c r="Y405" s="453">
        <v>2000</v>
      </c>
      <c r="Z405" s="453"/>
      <c r="AA405" s="453"/>
      <c r="AB405" s="453"/>
      <c r="AC405" s="452"/>
      <c r="AD405" s="452"/>
      <c r="AE405" s="452"/>
      <c r="AF405" s="452"/>
      <c r="AG405" s="452"/>
      <c r="AH405" s="452"/>
      <c r="AI405" s="452"/>
      <c r="AJ405" s="454"/>
      <c r="AK405" s="454">
        <f t="shared" si="54"/>
        <v>0</v>
      </c>
      <c r="AL405" s="454">
        <f t="shared" si="55"/>
        <v>0</v>
      </c>
      <c r="AM405" s="454">
        <v>2020</v>
      </c>
      <c r="AN405" s="454">
        <v>2000</v>
      </c>
      <c r="AO405" s="454"/>
      <c r="AP405" s="454"/>
      <c r="AQ405" s="452"/>
      <c r="AR405" s="452"/>
      <c r="AS405" s="494">
        <v>2020</v>
      </c>
      <c r="AT405" s="494">
        <v>2000</v>
      </c>
      <c r="AU405" s="495"/>
      <c r="AV405" s="495"/>
      <c r="AW405" s="10"/>
      <c r="AX405" s="119"/>
      <c r="BB405" s="119">
        <v>1</v>
      </c>
      <c r="BC405" s="119">
        <v>3</v>
      </c>
    </row>
    <row r="406" spans="1:55" ht="47.25" x14ac:dyDescent="0.25">
      <c r="A406" s="448">
        <v>34</v>
      </c>
      <c r="B406" s="449" t="s">
        <v>1402</v>
      </c>
      <c r="C406" s="450" t="s">
        <v>80</v>
      </c>
      <c r="D406" s="450"/>
      <c r="E406" s="450" t="s">
        <v>61</v>
      </c>
      <c r="F406" s="450"/>
      <c r="G406" s="452"/>
      <c r="H406" s="452"/>
      <c r="I406" s="492"/>
      <c r="J406" s="492"/>
      <c r="K406" s="492"/>
      <c r="L406" s="492"/>
      <c r="M406" s="492"/>
      <c r="N406" s="492"/>
      <c r="O406" s="492"/>
      <c r="P406" s="492"/>
      <c r="Q406" s="492"/>
      <c r="R406" s="492"/>
      <c r="S406" s="492"/>
      <c r="T406" s="492"/>
      <c r="U406" s="492"/>
      <c r="V406" s="492"/>
      <c r="W406" s="492"/>
      <c r="X406" s="453">
        <v>600</v>
      </c>
      <c r="Y406" s="453">
        <v>600</v>
      </c>
      <c r="Z406" s="453"/>
      <c r="AA406" s="453"/>
      <c r="AB406" s="453"/>
      <c r="AC406" s="452"/>
      <c r="AD406" s="452"/>
      <c r="AE406" s="452"/>
      <c r="AF406" s="452"/>
      <c r="AG406" s="452"/>
      <c r="AH406" s="452"/>
      <c r="AI406" s="452"/>
      <c r="AJ406" s="454"/>
      <c r="AK406" s="454">
        <f t="shared" si="54"/>
        <v>0</v>
      </c>
      <c r="AL406" s="454">
        <f t="shared" si="55"/>
        <v>0</v>
      </c>
      <c r="AM406" s="454">
        <v>606</v>
      </c>
      <c r="AN406" s="454">
        <v>600</v>
      </c>
      <c r="AO406" s="454"/>
      <c r="AP406" s="454"/>
      <c r="AQ406" s="452"/>
      <c r="AR406" s="452"/>
      <c r="AS406" s="494">
        <v>606</v>
      </c>
      <c r="AT406" s="494">
        <v>600</v>
      </c>
      <c r="AU406" s="495"/>
      <c r="AV406" s="495"/>
      <c r="AW406" s="10"/>
      <c r="AX406" s="119"/>
      <c r="BB406" s="119">
        <v>1</v>
      </c>
      <c r="BC406" s="119">
        <v>3</v>
      </c>
    </row>
    <row r="407" spans="1:55" ht="31.5" x14ac:dyDescent="0.25">
      <c r="A407" s="448">
        <v>35</v>
      </c>
      <c r="B407" s="449" t="s">
        <v>1403</v>
      </c>
      <c r="C407" s="450" t="s">
        <v>82</v>
      </c>
      <c r="D407" s="450"/>
      <c r="E407" s="450" t="s">
        <v>61</v>
      </c>
      <c r="F407" s="450"/>
      <c r="G407" s="452"/>
      <c r="H407" s="452"/>
      <c r="I407" s="492"/>
      <c r="J407" s="492"/>
      <c r="K407" s="492"/>
      <c r="L407" s="492"/>
      <c r="M407" s="492"/>
      <c r="N407" s="492"/>
      <c r="O407" s="492"/>
      <c r="P407" s="492"/>
      <c r="Q407" s="492"/>
      <c r="R407" s="492"/>
      <c r="S407" s="492"/>
      <c r="T407" s="492"/>
      <c r="U407" s="492"/>
      <c r="V407" s="492"/>
      <c r="W407" s="492"/>
      <c r="X407" s="453">
        <v>1900</v>
      </c>
      <c r="Y407" s="453">
        <v>1900</v>
      </c>
      <c r="Z407" s="453"/>
      <c r="AA407" s="453"/>
      <c r="AB407" s="453"/>
      <c r="AC407" s="452"/>
      <c r="AD407" s="452"/>
      <c r="AE407" s="452"/>
      <c r="AF407" s="452"/>
      <c r="AG407" s="452"/>
      <c r="AH407" s="452"/>
      <c r="AI407" s="452"/>
      <c r="AJ407" s="454"/>
      <c r="AK407" s="454">
        <f t="shared" si="54"/>
        <v>0</v>
      </c>
      <c r="AL407" s="454">
        <f t="shared" si="55"/>
        <v>0</v>
      </c>
      <c r="AM407" s="454">
        <v>1920</v>
      </c>
      <c r="AN407" s="454">
        <v>1900</v>
      </c>
      <c r="AO407" s="454"/>
      <c r="AP407" s="454"/>
      <c r="AQ407" s="452"/>
      <c r="AR407" s="452"/>
      <c r="AS407" s="494">
        <v>1920</v>
      </c>
      <c r="AT407" s="494">
        <v>1900</v>
      </c>
      <c r="AU407" s="495"/>
      <c r="AV407" s="495"/>
      <c r="AW407" s="10"/>
      <c r="AX407" s="119"/>
      <c r="BB407" s="119">
        <v>1</v>
      </c>
      <c r="BC407" s="119">
        <v>3</v>
      </c>
    </row>
    <row r="408" spans="1:55" s="14" customFormat="1" ht="31.5" x14ac:dyDescent="0.25">
      <c r="A408" s="448">
        <v>36</v>
      </c>
      <c r="B408" s="449" t="s">
        <v>1404</v>
      </c>
      <c r="C408" s="450" t="s">
        <v>79</v>
      </c>
      <c r="D408" s="450"/>
      <c r="E408" s="450" t="s">
        <v>61</v>
      </c>
      <c r="F408" s="450"/>
      <c r="G408" s="452"/>
      <c r="H408" s="452"/>
      <c r="I408" s="492"/>
      <c r="J408" s="492"/>
      <c r="K408" s="492"/>
      <c r="L408" s="492"/>
      <c r="M408" s="492"/>
      <c r="N408" s="492"/>
      <c r="O408" s="492"/>
      <c r="P408" s="492"/>
      <c r="Q408" s="492"/>
      <c r="R408" s="492"/>
      <c r="S408" s="492"/>
      <c r="T408" s="492"/>
      <c r="U408" s="492"/>
      <c r="V408" s="492"/>
      <c r="W408" s="492"/>
      <c r="X408" s="453">
        <v>2000</v>
      </c>
      <c r="Y408" s="453">
        <v>2000</v>
      </c>
      <c r="Z408" s="453"/>
      <c r="AA408" s="453"/>
      <c r="AB408" s="453"/>
      <c r="AC408" s="452"/>
      <c r="AD408" s="452"/>
      <c r="AE408" s="452"/>
      <c r="AF408" s="452"/>
      <c r="AG408" s="452"/>
      <c r="AH408" s="452"/>
      <c r="AI408" s="452"/>
      <c r="AJ408" s="454"/>
      <c r="AK408" s="454">
        <f t="shared" si="54"/>
        <v>0</v>
      </c>
      <c r="AL408" s="454">
        <f t="shared" si="55"/>
        <v>0</v>
      </c>
      <c r="AM408" s="454">
        <v>2020</v>
      </c>
      <c r="AN408" s="454">
        <v>2000</v>
      </c>
      <c r="AO408" s="454"/>
      <c r="AP408" s="454"/>
      <c r="AQ408" s="452"/>
      <c r="AR408" s="452"/>
      <c r="AS408" s="494">
        <v>2020</v>
      </c>
      <c r="AT408" s="494">
        <v>2000</v>
      </c>
      <c r="AU408" s="54">
        <v>0</v>
      </c>
      <c r="AV408" s="54">
        <v>0</v>
      </c>
      <c r="AW408" s="141"/>
    </row>
    <row r="409" spans="1:55" s="479" customFormat="1" ht="31.5" x14ac:dyDescent="0.25">
      <c r="A409" s="448">
        <v>37</v>
      </c>
      <c r="B409" s="449" t="s">
        <v>1405</v>
      </c>
      <c r="C409" s="450" t="s">
        <v>84</v>
      </c>
      <c r="D409" s="450"/>
      <c r="E409" s="450" t="s">
        <v>61</v>
      </c>
      <c r="F409" s="450"/>
      <c r="G409" s="452"/>
      <c r="H409" s="452"/>
      <c r="I409" s="492"/>
      <c r="J409" s="492"/>
      <c r="K409" s="492"/>
      <c r="L409" s="492"/>
      <c r="M409" s="492"/>
      <c r="N409" s="492"/>
      <c r="O409" s="492"/>
      <c r="P409" s="492"/>
      <c r="Q409" s="492"/>
      <c r="R409" s="492"/>
      <c r="S409" s="492"/>
      <c r="T409" s="492"/>
      <c r="U409" s="492"/>
      <c r="V409" s="492"/>
      <c r="W409" s="492"/>
      <c r="X409" s="453">
        <v>2900</v>
      </c>
      <c r="Y409" s="453">
        <v>2800</v>
      </c>
      <c r="Z409" s="453"/>
      <c r="AA409" s="453"/>
      <c r="AB409" s="453"/>
      <c r="AC409" s="452"/>
      <c r="AD409" s="452"/>
      <c r="AE409" s="452"/>
      <c r="AF409" s="452"/>
      <c r="AG409" s="452"/>
      <c r="AH409" s="452"/>
      <c r="AI409" s="452"/>
      <c r="AJ409" s="454"/>
      <c r="AK409" s="454">
        <f t="shared" si="54"/>
        <v>0</v>
      </c>
      <c r="AL409" s="454">
        <f t="shared" si="55"/>
        <v>0</v>
      </c>
      <c r="AM409" s="454">
        <v>2830</v>
      </c>
      <c r="AN409" s="454">
        <v>2800</v>
      </c>
      <c r="AO409" s="454"/>
      <c r="AP409" s="454"/>
      <c r="AQ409" s="452"/>
      <c r="AR409" s="452"/>
      <c r="AS409" s="494">
        <v>2830</v>
      </c>
      <c r="AT409" s="494">
        <v>2800</v>
      </c>
      <c r="AU409" s="478"/>
      <c r="AV409" s="478"/>
      <c r="AW409" s="510"/>
      <c r="BB409" s="479">
        <v>1</v>
      </c>
      <c r="BC409" s="479" t="s">
        <v>733</v>
      </c>
    </row>
    <row r="410" spans="1:55" s="479" customFormat="1" ht="31.5" x14ac:dyDescent="0.25">
      <c r="A410" s="448">
        <v>38</v>
      </c>
      <c r="B410" s="449" t="s">
        <v>1406</v>
      </c>
      <c r="C410" s="450" t="s">
        <v>1394</v>
      </c>
      <c r="D410" s="450"/>
      <c r="E410" s="450" t="s">
        <v>61</v>
      </c>
      <c r="F410" s="450"/>
      <c r="G410" s="452"/>
      <c r="H410" s="452"/>
      <c r="I410" s="492"/>
      <c r="J410" s="492"/>
      <c r="K410" s="492"/>
      <c r="L410" s="492"/>
      <c r="M410" s="492"/>
      <c r="N410" s="492"/>
      <c r="O410" s="492"/>
      <c r="P410" s="492"/>
      <c r="Q410" s="492"/>
      <c r="R410" s="492"/>
      <c r="S410" s="492"/>
      <c r="T410" s="492"/>
      <c r="U410" s="492"/>
      <c r="V410" s="492"/>
      <c r="W410" s="492"/>
      <c r="X410" s="453">
        <v>2000</v>
      </c>
      <c r="Y410" s="453">
        <v>2000</v>
      </c>
      <c r="Z410" s="453"/>
      <c r="AA410" s="453"/>
      <c r="AB410" s="453"/>
      <c r="AC410" s="452"/>
      <c r="AD410" s="452"/>
      <c r="AE410" s="452"/>
      <c r="AF410" s="452"/>
      <c r="AG410" s="452"/>
      <c r="AH410" s="452"/>
      <c r="AI410" s="452"/>
      <c r="AJ410" s="454"/>
      <c r="AK410" s="454">
        <f t="shared" si="54"/>
        <v>0</v>
      </c>
      <c r="AL410" s="454">
        <f t="shared" si="55"/>
        <v>0</v>
      </c>
      <c r="AM410" s="454">
        <v>2020</v>
      </c>
      <c r="AN410" s="454">
        <v>2000</v>
      </c>
      <c r="AO410" s="454"/>
      <c r="AP410" s="454"/>
      <c r="AQ410" s="452"/>
      <c r="AR410" s="452"/>
      <c r="AS410" s="494">
        <v>2020</v>
      </c>
      <c r="AT410" s="494">
        <v>2000</v>
      </c>
      <c r="AU410" s="509">
        <v>0</v>
      </c>
      <c r="AV410" s="509">
        <v>0</v>
      </c>
      <c r="AW410" s="510"/>
    </row>
    <row r="411" spans="1:55" ht="31.5" x14ac:dyDescent="0.25">
      <c r="A411" s="448">
        <v>39</v>
      </c>
      <c r="B411" s="449" t="s">
        <v>1407</v>
      </c>
      <c r="C411" s="450" t="s">
        <v>85</v>
      </c>
      <c r="D411" s="450"/>
      <c r="E411" s="450" t="s">
        <v>1408</v>
      </c>
      <c r="F411" s="450"/>
      <c r="G411" s="452"/>
      <c r="H411" s="452"/>
      <c r="I411" s="492"/>
      <c r="J411" s="492"/>
      <c r="K411" s="492"/>
      <c r="L411" s="492"/>
      <c r="M411" s="492"/>
      <c r="N411" s="492"/>
      <c r="O411" s="492"/>
      <c r="P411" s="492"/>
      <c r="Q411" s="492"/>
      <c r="R411" s="492"/>
      <c r="S411" s="492"/>
      <c r="T411" s="492"/>
      <c r="U411" s="492"/>
      <c r="V411" s="492"/>
      <c r="W411" s="492"/>
      <c r="X411" s="453">
        <v>2669</v>
      </c>
      <c r="Y411" s="453">
        <v>2000</v>
      </c>
      <c r="Z411" s="453"/>
      <c r="AA411" s="453"/>
      <c r="AB411" s="453"/>
      <c r="AC411" s="452"/>
      <c r="AD411" s="452"/>
      <c r="AE411" s="452"/>
      <c r="AF411" s="452"/>
      <c r="AG411" s="452"/>
      <c r="AH411" s="452"/>
      <c r="AI411" s="452"/>
      <c r="AJ411" s="454"/>
      <c r="AK411" s="454">
        <f t="shared" si="54"/>
        <v>0</v>
      </c>
      <c r="AL411" s="454">
        <f t="shared" si="55"/>
        <v>0</v>
      </c>
      <c r="AM411" s="454">
        <v>2020</v>
      </c>
      <c r="AN411" s="454">
        <v>2000</v>
      </c>
      <c r="AO411" s="454"/>
      <c r="AP411" s="454"/>
      <c r="AQ411" s="452"/>
      <c r="AR411" s="452"/>
      <c r="AS411" s="494">
        <v>2020</v>
      </c>
      <c r="AT411" s="494">
        <v>2000</v>
      </c>
      <c r="AU411" s="495"/>
      <c r="AV411" s="495"/>
      <c r="AW411" s="147"/>
      <c r="AX411" s="119"/>
      <c r="BB411" s="479">
        <v>1</v>
      </c>
      <c r="BC411" s="119">
        <v>6</v>
      </c>
    </row>
    <row r="412" spans="1:55" ht="31.5" x14ac:dyDescent="0.25">
      <c r="A412" s="448">
        <v>40</v>
      </c>
      <c r="B412" s="449" t="s">
        <v>1409</v>
      </c>
      <c r="C412" s="450" t="s">
        <v>84</v>
      </c>
      <c r="D412" s="450"/>
      <c r="E412" s="450" t="s">
        <v>1408</v>
      </c>
      <c r="F412" s="450"/>
      <c r="G412" s="452"/>
      <c r="H412" s="452"/>
      <c r="I412" s="492"/>
      <c r="J412" s="492"/>
      <c r="K412" s="492"/>
      <c r="L412" s="492"/>
      <c r="M412" s="492"/>
      <c r="N412" s="492"/>
      <c r="O412" s="492"/>
      <c r="P412" s="492"/>
      <c r="Q412" s="492"/>
      <c r="R412" s="492"/>
      <c r="S412" s="492"/>
      <c r="T412" s="492"/>
      <c r="U412" s="492"/>
      <c r="V412" s="492"/>
      <c r="W412" s="492"/>
      <c r="X412" s="453">
        <v>800</v>
      </c>
      <c r="Y412" s="453">
        <v>800</v>
      </c>
      <c r="Z412" s="453"/>
      <c r="AA412" s="453"/>
      <c r="AB412" s="453"/>
      <c r="AC412" s="452"/>
      <c r="AD412" s="452"/>
      <c r="AE412" s="452"/>
      <c r="AF412" s="452"/>
      <c r="AG412" s="452"/>
      <c r="AH412" s="452"/>
      <c r="AI412" s="452"/>
      <c r="AJ412" s="454"/>
      <c r="AK412" s="454">
        <f t="shared" si="54"/>
        <v>0</v>
      </c>
      <c r="AL412" s="454">
        <f t="shared" si="55"/>
        <v>0</v>
      </c>
      <c r="AM412" s="454">
        <v>808</v>
      </c>
      <c r="AN412" s="454">
        <v>800</v>
      </c>
      <c r="AO412" s="454"/>
      <c r="AP412" s="454"/>
      <c r="AQ412" s="452"/>
      <c r="AR412" s="452"/>
      <c r="AS412" s="494">
        <v>808</v>
      </c>
      <c r="AT412" s="494">
        <v>800</v>
      </c>
      <c r="AU412" s="495"/>
      <c r="AV412" s="495"/>
      <c r="AW412" s="147"/>
      <c r="AX412" s="119"/>
      <c r="BB412" s="479">
        <v>1</v>
      </c>
      <c r="BC412" s="119">
        <v>6</v>
      </c>
    </row>
    <row r="413" spans="1:55" ht="31.5" x14ac:dyDescent="0.25">
      <c r="A413" s="448">
        <v>41</v>
      </c>
      <c r="B413" s="449" t="s">
        <v>1410</v>
      </c>
      <c r="C413" s="450" t="s">
        <v>85</v>
      </c>
      <c r="D413" s="450"/>
      <c r="E413" s="450" t="s">
        <v>61</v>
      </c>
      <c r="F413" s="450"/>
      <c r="G413" s="452"/>
      <c r="H413" s="452"/>
      <c r="I413" s="492"/>
      <c r="J413" s="492"/>
      <c r="K413" s="492"/>
      <c r="L413" s="492"/>
      <c r="M413" s="492"/>
      <c r="N413" s="492"/>
      <c r="O413" s="492"/>
      <c r="P413" s="492"/>
      <c r="Q413" s="492"/>
      <c r="R413" s="492"/>
      <c r="S413" s="492"/>
      <c r="T413" s="492"/>
      <c r="U413" s="492"/>
      <c r="V413" s="492"/>
      <c r="W413" s="492"/>
      <c r="X413" s="453">
        <v>2900</v>
      </c>
      <c r="Y413" s="453">
        <v>2800</v>
      </c>
      <c r="Z413" s="453"/>
      <c r="AA413" s="453"/>
      <c r="AB413" s="453"/>
      <c r="AC413" s="452"/>
      <c r="AD413" s="452"/>
      <c r="AE413" s="452"/>
      <c r="AF413" s="452"/>
      <c r="AG413" s="452"/>
      <c r="AH413" s="452"/>
      <c r="AI413" s="452"/>
      <c r="AJ413" s="454"/>
      <c r="AK413" s="454">
        <f t="shared" si="54"/>
        <v>0</v>
      </c>
      <c r="AL413" s="454">
        <f t="shared" si="55"/>
        <v>0</v>
      </c>
      <c r="AM413" s="454">
        <v>2830</v>
      </c>
      <c r="AN413" s="454">
        <v>2800</v>
      </c>
      <c r="AO413" s="454"/>
      <c r="AP413" s="454"/>
      <c r="AQ413" s="452"/>
      <c r="AR413" s="452"/>
      <c r="AS413" s="494">
        <v>2830</v>
      </c>
      <c r="AT413" s="494">
        <v>2800</v>
      </c>
      <c r="AU413" s="495"/>
      <c r="AV413" s="495"/>
      <c r="AW413" s="147"/>
      <c r="AX413" s="119"/>
      <c r="BB413" s="479">
        <v>1</v>
      </c>
      <c r="BC413" s="119">
        <v>6</v>
      </c>
    </row>
    <row r="414" spans="1:55" ht="31.5" x14ac:dyDescent="0.25">
      <c r="A414" s="448">
        <v>42</v>
      </c>
      <c r="B414" s="449" t="s">
        <v>1411</v>
      </c>
      <c r="C414" s="450" t="s">
        <v>1394</v>
      </c>
      <c r="D414" s="450"/>
      <c r="E414" s="450" t="s">
        <v>61</v>
      </c>
      <c r="F414" s="450"/>
      <c r="G414" s="452"/>
      <c r="H414" s="452"/>
      <c r="I414" s="492"/>
      <c r="J414" s="492"/>
      <c r="K414" s="492"/>
      <c r="L414" s="492"/>
      <c r="M414" s="492"/>
      <c r="N414" s="492"/>
      <c r="O414" s="492"/>
      <c r="P414" s="492"/>
      <c r="Q414" s="492"/>
      <c r="R414" s="492"/>
      <c r="S414" s="492"/>
      <c r="T414" s="492"/>
      <c r="U414" s="492"/>
      <c r="V414" s="492"/>
      <c r="W414" s="492"/>
      <c r="X414" s="453">
        <v>1114</v>
      </c>
      <c r="Y414" s="453">
        <v>1114</v>
      </c>
      <c r="Z414" s="453"/>
      <c r="AA414" s="453"/>
      <c r="AB414" s="453"/>
      <c r="AC414" s="452"/>
      <c r="AD414" s="452"/>
      <c r="AE414" s="452"/>
      <c r="AF414" s="452"/>
      <c r="AG414" s="452"/>
      <c r="AH414" s="452"/>
      <c r="AI414" s="452"/>
      <c r="AJ414" s="454"/>
      <c r="AK414" s="454">
        <f t="shared" si="54"/>
        <v>0</v>
      </c>
      <c r="AL414" s="454">
        <f t="shared" si="55"/>
        <v>0</v>
      </c>
      <c r="AM414" s="454">
        <v>1126</v>
      </c>
      <c r="AN414" s="454">
        <v>1114</v>
      </c>
      <c r="AO414" s="454"/>
      <c r="AP414" s="454"/>
      <c r="AQ414" s="452"/>
      <c r="AR414" s="452"/>
      <c r="AS414" s="494">
        <v>1126</v>
      </c>
      <c r="AT414" s="494">
        <v>1114</v>
      </c>
      <c r="AU414" s="495"/>
      <c r="AV414" s="495"/>
      <c r="AW414" s="147"/>
      <c r="AX414" s="119"/>
      <c r="BB414" s="479">
        <v>1</v>
      </c>
      <c r="BC414" s="119">
        <v>6</v>
      </c>
    </row>
    <row r="415" spans="1:55" ht="31.5" x14ac:dyDescent="0.25">
      <c r="A415" s="448">
        <v>43</v>
      </c>
      <c r="B415" s="449" t="s">
        <v>1412</v>
      </c>
      <c r="C415" s="450" t="s">
        <v>1413</v>
      </c>
      <c r="D415" s="450"/>
      <c r="E415" s="450" t="s">
        <v>61</v>
      </c>
      <c r="F415" s="450"/>
      <c r="G415" s="452"/>
      <c r="H415" s="452"/>
      <c r="I415" s="492"/>
      <c r="J415" s="492"/>
      <c r="K415" s="492"/>
      <c r="L415" s="492"/>
      <c r="M415" s="492"/>
      <c r="N415" s="492"/>
      <c r="O415" s="492"/>
      <c r="P415" s="492"/>
      <c r="Q415" s="492"/>
      <c r="R415" s="492"/>
      <c r="S415" s="492"/>
      <c r="T415" s="492"/>
      <c r="U415" s="492"/>
      <c r="V415" s="492"/>
      <c r="W415" s="492"/>
      <c r="X415" s="453">
        <v>1500</v>
      </c>
      <c r="Y415" s="453">
        <v>1500</v>
      </c>
      <c r="Z415" s="453"/>
      <c r="AA415" s="453"/>
      <c r="AB415" s="453"/>
      <c r="AC415" s="452"/>
      <c r="AD415" s="452"/>
      <c r="AE415" s="452"/>
      <c r="AF415" s="452"/>
      <c r="AG415" s="452"/>
      <c r="AH415" s="452"/>
      <c r="AI415" s="452"/>
      <c r="AJ415" s="454"/>
      <c r="AK415" s="454">
        <f t="shared" si="54"/>
        <v>0</v>
      </c>
      <c r="AL415" s="454">
        <f t="shared" si="55"/>
        <v>0</v>
      </c>
      <c r="AM415" s="454">
        <v>1515</v>
      </c>
      <c r="AN415" s="454">
        <v>1500</v>
      </c>
      <c r="AO415" s="454"/>
      <c r="AP415" s="454"/>
      <c r="AQ415" s="452"/>
      <c r="AR415" s="452"/>
      <c r="AS415" s="494">
        <v>1515</v>
      </c>
      <c r="AT415" s="494">
        <v>1500</v>
      </c>
      <c r="AU415" s="495"/>
      <c r="AV415" s="495"/>
      <c r="AW415" s="147"/>
      <c r="AX415" s="119"/>
      <c r="BB415" s="479">
        <v>1</v>
      </c>
      <c r="BC415" s="119">
        <v>6</v>
      </c>
    </row>
    <row r="416" spans="1:55" ht="47.25" x14ac:dyDescent="0.25">
      <c r="A416" s="448">
        <v>44</v>
      </c>
      <c r="B416" s="449" t="s">
        <v>1414</v>
      </c>
      <c r="C416" s="450" t="s">
        <v>82</v>
      </c>
      <c r="D416" s="450" t="s">
        <v>1415</v>
      </c>
      <c r="E416" s="450" t="s">
        <v>61</v>
      </c>
      <c r="F416" s="450"/>
      <c r="G416" s="452"/>
      <c r="H416" s="452"/>
      <c r="I416" s="492"/>
      <c r="J416" s="492"/>
      <c r="K416" s="492"/>
      <c r="L416" s="492"/>
      <c r="M416" s="492"/>
      <c r="N416" s="492"/>
      <c r="O416" s="492"/>
      <c r="P416" s="492"/>
      <c r="Q416" s="492"/>
      <c r="R416" s="492"/>
      <c r="S416" s="492"/>
      <c r="T416" s="492"/>
      <c r="U416" s="492"/>
      <c r="V416" s="492"/>
      <c r="W416" s="492"/>
      <c r="X416" s="453"/>
      <c r="Y416" s="453"/>
      <c r="Z416" s="453"/>
      <c r="AA416" s="453"/>
      <c r="AB416" s="453"/>
      <c r="AC416" s="452"/>
      <c r="AD416" s="452"/>
      <c r="AE416" s="452"/>
      <c r="AF416" s="452"/>
      <c r="AG416" s="452"/>
      <c r="AH416" s="452"/>
      <c r="AI416" s="452"/>
      <c r="AJ416" s="454"/>
      <c r="AK416" s="454">
        <f>IF(AN416-Y416&gt;0,AN416-Y416,0)</f>
        <v>4923</v>
      </c>
      <c r="AL416" s="454">
        <f t="shared" si="55"/>
        <v>0</v>
      </c>
      <c r="AM416" s="454">
        <v>4970</v>
      </c>
      <c r="AN416" s="454">
        <v>4923</v>
      </c>
      <c r="AO416" s="454"/>
      <c r="AP416" s="454"/>
      <c r="AQ416" s="452"/>
      <c r="AR416" s="452"/>
      <c r="AS416" s="494">
        <v>4970</v>
      </c>
      <c r="AT416" s="494">
        <v>4923</v>
      </c>
      <c r="AU416" s="495"/>
      <c r="AV416" s="495"/>
      <c r="AW416" s="147"/>
      <c r="AX416" s="119"/>
      <c r="BB416" s="479">
        <v>1</v>
      </c>
      <c r="BC416" s="119">
        <v>6</v>
      </c>
    </row>
    <row r="417" spans="1:55" ht="31.5" x14ac:dyDescent="0.25">
      <c r="A417" s="448">
        <v>45</v>
      </c>
      <c r="B417" s="449" t="s">
        <v>1416</v>
      </c>
      <c r="C417" s="450" t="s">
        <v>1394</v>
      </c>
      <c r="D417" s="450" t="s">
        <v>1417</v>
      </c>
      <c r="E417" s="450" t="s">
        <v>61</v>
      </c>
      <c r="F417" s="450"/>
      <c r="G417" s="452"/>
      <c r="H417" s="452"/>
      <c r="I417" s="492"/>
      <c r="J417" s="492"/>
      <c r="K417" s="492"/>
      <c r="L417" s="492"/>
      <c r="M417" s="492"/>
      <c r="N417" s="492"/>
      <c r="O417" s="492"/>
      <c r="P417" s="492"/>
      <c r="Q417" s="492"/>
      <c r="R417" s="492"/>
      <c r="S417" s="492"/>
      <c r="T417" s="492"/>
      <c r="U417" s="492"/>
      <c r="V417" s="492"/>
      <c r="W417" s="492"/>
      <c r="X417" s="453"/>
      <c r="Y417" s="453"/>
      <c r="Z417" s="453"/>
      <c r="AA417" s="453"/>
      <c r="AB417" s="453"/>
      <c r="AC417" s="452"/>
      <c r="AD417" s="452"/>
      <c r="AE417" s="452"/>
      <c r="AF417" s="452"/>
      <c r="AG417" s="452"/>
      <c r="AH417" s="452"/>
      <c r="AI417" s="452"/>
      <c r="AJ417" s="454"/>
      <c r="AK417" s="454">
        <f>IF(AN417-Y417&gt;0,AN417-Y417,0)</f>
        <v>2600</v>
      </c>
      <c r="AL417" s="454">
        <f t="shared" si="55"/>
        <v>0</v>
      </c>
      <c r="AM417" s="454">
        <v>2630</v>
      </c>
      <c r="AN417" s="454">
        <v>2600</v>
      </c>
      <c r="AO417" s="454"/>
      <c r="AP417" s="454"/>
      <c r="AQ417" s="452"/>
      <c r="AR417" s="452"/>
      <c r="AS417" s="494">
        <v>2630</v>
      </c>
      <c r="AT417" s="494">
        <v>2600</v>
      </c>
      <c r="AU417" s="495"/>
      <c r="AV417" s="495"/>
      <c r="AW417" s="147"/>
      <c r="AX417" s="119"/>
      <c r="BB417" s="479">
        <v>1</v>
      </c>
      <c r="BC417" s="119">
        <v>6</v>
      </c>
    </row>
    <row r="418" spans="1:55" ht="31.5" x14ac:dyDescent="0.25">
      <c r="A418" s="448">
        <v>46</v>
      </c>
      <c r="B418" s="449" t="s">
        <v>1418</v>
      </c>
      <c r="C418" s="450" t="s">
        <v>85</v>
      </c>
      <c r="D418" s="450"/>
      <c r="E418" s="450" t="s">
        <v>933</v>
      </c>
      <c r="F418" s="450"/>
      <c r="G418" s="452"/>
      <c r="H418" s="452"/>
      <c r="I418" s="492"/>
      <c r="J418" s="492"/>
      <c r="K418" s="492"/>
      <c r="L418" s="492"/>
      <c r="M418" s="492"/>
      <c r="N418" s="492"/>
      <c r="O418" s="492"/>
      <c r="P418" s="492"/>
      <c r="Q418" s="492"/>
      <c r="R418" s="492"/>
      <c r="S418" s="492"/>
      <c r="T418" s="492"/>
      <c r="U418" s="492"/>
      <c r="V418" s="492"/>
      <c r="W418" s="492"/>
      <c r="X418" s="453">
        <v>2500</v>
      </c>
      <c r="Y418" s="453">
        <v>2400</v>
      </c>
      <c r="Z418" s="453"/>
      <c r="AA418" s="453"/>
      <c r="AB418" s="453"/>
      <c r="AC418" s="452"/>
      <c r="AD418" s="452"/>
      <c r="AE418" s="452"/>
      <c r="AF418" s="452"/>
      <c r="AG418" s="452"/>
      <c r="AH418" s="452"/>
      <c r="AI418" s="452"/>
      <c r="AJ418" s="454"/>
      <c r="AK418" s="454">
        <f t="shared" ref="AK418:AK424" si="56">IF(AN418-Y418&gt;0,AM418-Y418,0)</f>
        <v>0</v>
      </c>
      <c r="AL418" s="454">
        <f t="shared" si="55"/>
        <v>2400</v>
      </c>
      <c r="AM418" s="454"/>
      <c r="AN418" s="454"/>
      <c r="AO418" s="454"/>
      <c r="AP418" s="454"/>
      <c r="AQ418" s="452"/>
      <c r="AR418" s="452"/>
      <c r="AS418" s="494"/>
      <c r="AT418" s="494"/>
      <c r="AU418" s="495"/>
      <c r="AV418" s="495"/>
      <c r="AW418" s="147"/>
      <c r="AX418" s="119"/>
      <c r="BB418" s="479">
        <v>1</v>
      </c>
      <c r="BC418" s="119">
        <v>6</v>
      </c>
    </row>
    <row r="419" spans="1:55" ht="47.25" x14ac:dyDescent="0.25">
      <c r="A419" s="448">
        <v>47</v>
      </c>
      <c r="B419" s="449" t="s">
        <v>1419</v>
      </c>
      <c r="C419" s="450" t="s">
        <v>81</v>
      </c>
      <c r="D419" s="450" t="s">
        <v>1420</v>
      </c>
      <c r="E419" s="450" t="s">
        <v>61</v>
      </c>
      <c r="F419" s="450"/>
      <c r="G419" s="452"/>
      <c r="H419" s="452"/>
      <c r="I419" s="492"/>
      <c r="J419" s="492"/>
      <c r="K419" s="492"/>
      <c r="L419" s="492"/>
      <c r="M419" s="492"/>
      <c r="N419" s="492"/>
      <c r="O419" s="492"/>
      <c r="P419" s="492"/>
      <c r="Q419" s="492"/>
      <c r="R419" s="492"/>
      <c r="S419" s="492"/>
      <c r="T419" s="492"/>
      <c r="U419" s="492"/>
      <c r="V419" s="492"/>
      <c r="W419" s="492"/>
      <c r="X419" s="453">
        <v>1900</v>
      </c>
      <c r="Y419" s="453">
        <v>1800</v>
      </c>
      <c r="Z419" s="453"/>
      <c r="AA419" s="453"/>
      <c r="AB419" s="453"/>
      <c r="AC419" s="452"/>
      <c r="AD419" s="452"/>
      <c r="AE419" s="452"/>
      <c r="AF419" s="452"/>
      <c r="AG419" s="452"/>
      <c r="AH419" s="452"/>
      <c r="AI419" s="452"/>
      <c r="AJ419" s="454"/>
      <c r="AK419" s="454">
        <f t="shared" si="56"/>
        <v>0</v>
      </c>
      <c r="AL419" s="454">
        <f t="shared" si="55"/>
        <v>1800</v>
      </c>
      <c r="AM419" s="454"/>
      <c r="AN419" s="454"/>
      <c r="AO419" s="454"/>
      <c r="AP419" s="454"/>
      <c r="AQ419" s="452"/>
      <c r="AR419" s="452"/>
      <c r="AS419" s="494"/>
      <c r="AT419" s="494"/>
      <c r="AU419" s="495"/>
      <c r="AV419" s="495"/>
      <c r="AW419" s="147"/>
      <c r="AX419" s="119"/>
      <c r="BB419" s="479">
        <v>1</v>
      </c>
      <c r="BC419" s="119">
        <v>6</v>
      </c>
    </row>
    <row r="420" spans="1:55" ht="31.5" x14ac:dyDescent="0.25">
      <c r="A420" s="448">
        <v>48</v>
      </c>
      <c r="B420" s="449" t="s">
        <v>1421</v>
      </c>
      <c r="C420" s="450" t="s">
        <v>1422</v>
      </c>
      <c r="D420" s="450"/>
      <c r="E420" s="450" t="s">
        <v>61</v>
      </c>
      <c r="F420" s="450"/>
      <c r="G420" s="452"/>
      <c r="H420" s="452"/>
      <c r="I420" s="492"/>
      <c r="J420" s="492"/>
      <c r="K420" s="492"/>
      <c r="L420" s="492"/>
      <c r="M420" s="492"/>
      <c r="N420" s="492"/>
      <c r="O420" s="492"/>
      <c r="P420" s="492"/>
      <c r="Q420" s="492"/>
      <c r="R420" s="492"/>
      <c r="S420" s="492"/>
      <c r="T420" s="492"/>
      <c r="U420" s="492"/>
      <c r="V420" s="492"/>
      <c r="W420" s="492"/>
      <c r="X420" s="453">
        <v>2000</v>
      </c>
      <c r="Y420" s="453">
        <v>2000</v>
      </c>
      <c r="Z420" s="453"/>
      <c r="AA420" s="453"/>
      <c r="AB420" s="453"/>
      <c r="AC420" s="452"/>
      <c r="AD420" s="452"/>
      <c r="AE420" s="452"/>
      <c r="AF420" s="452"/>
      <c r="AG420" s="452"/>
      <c r="AH420" s="452"/>
      <c r="AI420" s="452"/>
      <c r="AJ420" s="454"/>
      <c r="AK420" s="454">
        <f t="shared" si="56"/>
        <v>0</v>
      </c>
      <c r="AL420" s="454">
        <f t="shared" si="55"/>
        <v>2000</v>
      </c>
      <c r="AM420" s="454"/>
      <c r="AN420" s="454"/>
      <c r="AO420" s="454"/>
      <c r="AP420" s="454"/>
      <c r="AQ420" s="452"/>
      <c r="AR420" s="452"/>
      <c r="AS420" s="494"/>
      <c r="AT420" s="494"/>
      <c r="AU420" s="495"/>
      <c r="AV420" s="495"/>
      <c r="AW420" s="147"/>
      <c r="AX420" s="119"/>
      <c r="BB420" s="479">
        <v>1</v>
      </c>
      <c r="BC420" s="119">
        <v>6</v>
      </c>
    </row>
    <row r="421" spans="1:55" ht="47.25" x14ac:dyDescent="0.25">
      <c r="A421" s="448">
        <v>49</v>
      </c>
      <c r="B421" s="449" t="s">
        <v>1423</v>
      </c>
      <c r="C421" s="450" t="s">
        <v>81</v>
      </c>
      <c r="D421" s="450" t="s">
        <v>1424</v>
      </c>
      <c r="E421" s="450" t="s">
        <v>933</v>
      </c>
      <c r="F421" s="450"/>
      <c r="G421" s="452"/>
      <c r="H421" s="452"/>
      <c r="I421" s="492"/>
      <c r="J421" s="492"/>
      <c r="K421" s="492"/>
      <c r="L421" s="492"/>
      <c r="M421" s="492"/>
      <c r="N421" s="492"/>
      <c r="O421" s="492"/>
      <c r="P421" s="492"/>
      <c r="Q421" s="492"/>
      <c r="R421" s="492"/>
      <c r="S421" s="492"/>
      <c r="T421" s="492"/>
      <c r="U421" s="492"/>
      <c r="V421" s="492"/>
      <c r="W421" s="492"/>
      <c r="X421" s="453">
        <v>700</v>
      </c>
      <c r="Y421" s="453">
        <v>700</v>
      </c>
      <c r="Z421" s="453"/>
      <c r="AA421" s="453"/>
      <c r="AB421" s="453"/>
      <c r="AC421" s="452"/>
      <c r="AD421" s="452"/>
      <c r="AE421" s="452"/>
      <c r="AF421" s="452"/>
      <c r="AG421" s="452"/>
      <c r="AH421" s="452"/>
      <c r="AI421" s="452"/>
      <c r="AJ421" s="454"/>
      <c r="AK421" s="454">
        <f t="shared" si="56"/>
        <v>0</v>
      </c>
      <c r="AL421" s="454">
        <f t="shared" si="55"/>
        <v>700</v>
      </c>
      <c r="AM421" s="454"/>
      <c r="AN421" s="454"/>
      <c r="AO421" s="454"/>
      <c r="AP421" s="454"/>
      <c r="AQ421" s="452"/>
      <c r="AR421" s="452"/>
      <c r="AS421" s="494"/>
      <c r="AT421" s="494"/>
      <c r="AU421" s="495"/>
      <c r="AV421" s="495"/>
      <c r="AW421" s="147"/>
      <c r="AX421" s="119"/>
      <c r="BB421" s="479">
        <v>1</v>
      </c>
      <c r="BC421" s="119">
        <v>6</v>
      </c>
    </row>
    <row r="422" spans="1:55" ht="47.25" x14ac:dyDescent="0.25">
      <c r="A422" s="448">
        <v>50</v>
      </c>
      <c r="B422" s="449" t="s">
        <v>1425</v>
      </c>
      <c r="C422" s="450" t="s">
        <v>81</v>
      </c>
      <c r="D422" s="450" t="s">
        <v>1426</v>
      </c>
      <c r="E422" s="450" t="s">
        <v>61</v>
      </c>
      <c r="F422" s="450"/>
      <c r="G422" s="452"/>
      <c r="H422" s="452"/>
      <c r="I422" s="492"/>
      <c r="J422" s="492"/>
      <c r="K422" s="492"/>
      <c r="L422" s="492"/>
      <c r="M422" s="492"/>
      <c r="N422" s="492"/>
      <c r="O422" s="492"/>
      <c r="P422" s="492"/>
      <c r="Q422" s="492"/>
      <c r="R422" s="492"/>
      <c r="S422" s="492"/>
      <c r="T422" s="492"/>
      <c r="U422" s="492"/>
      <c r="V422" s="492"/>
      <c r="W422" s="492"/>
      <c r="X422" s="453">
        <v>300</v>
      </c>
      <c r="Y422" s="453">
        <v>300</v>
      </c>
      <c r="Z422" s="453"/>
      <c r="AA422" s="453"/>
      <c r="AB422" s="453"/>
      <c r="AC422" s="452"/>
      <c r="AD422" s="452"/>
      <c r="AE422" s="452"/>
      <c r="AF422" s="452"/>
      <c r="AG422" s="452"/>
      <c r="AH422" s="452"/>
      <c r="AI422" s="452"/>
      <c r="AJ422" s="454"/>
      <c r="AK422" s="454">
        <f t="shared" si="56"/>
        <v>0</v>
      </c>
      <c r="AL422" s="454">
        <f t="shared" si="55"/>
        <v>300</v>
      </c>
      <c r="AM422" s="454"/>
      <c r="AN422" s="454"/>
      <c r="AO422" s="454"/>
      <c r="AP422" s="454"/>
      <c r="AQ422" s="452"/>
      <c r="AR422" s="452"/>
      <c r="AS422" s="494"/>
      <c r="AT422" s="494"/>
      <c r="AU422" s="495"/>
      <c r="AV422" s="495"/>
      <c r="AW422" s="147"/>
      <c r="AX422" s="119"/>
      <c r="BB422" s="479">
        <v>1</v>
      </c>
      <c r="BC422" s="119">
        <v>6</v>
      </c>
    </row>
    <row r="423" spans="1:55" ht="47.25" x14ac:dyDescent="0.25">
      <c r="A423" s="448">
        <v>51</v>
      </c>
      <c r="B423" s="449" t="s">
        <v>1427</v>
      </c>
      <c r="C423" s="450" t="s">
        <v>81</v>
      </c>
      <c r="D423" s="450" t="s">
        <v>1428</v>
      </c>
      <c r="E423" s="450" t="s">
        <v>61</v>
      </c>
      <c r="F423" s="450"/>
      <c r="G423" s="452"/>
      <c r="H423" s="452"/>
      <c r="I423" s="492"/>
      <c r="J423" s="492"/>
      <c r="K423" s="492"/>
      <c r="L423" s="492"/>
      <c r="M423" s="492"/>
      <c r="N423" s="492"/>
      <c r="O423" s="492"/>
      <c r="P423" s="492"/>
      <c r="Q423" s="492"/>
      <c r="R423" s="492"/>
      <c r="S423" s="492"/>
      <c r="T423" s="492"/>
      <c r="U423" s="492"/>
      <c r="V423" s="492"/>
      <c r="W423" s="492"/>
      <c r="X423" s="453">
        <v>820</v>
      </c>
      <c r="Y423" s="453">
        <v>820</v>
      </c>
      <c r="Z423" s="453"/>
      <c r="AA423" s="453"/>
      <c r="AB423" s="453"/>
      <c r="AC423" s="452"/>
      <c r="AD423" s="452"/>
      <c r="AE423" s="452"/>
      <c r="AF423" s="452"/>
      <c r="AG423" s="452"/>
      <c r="AH423" s="452"/>
      <c r="AI423" s="452"/>
      <c r="AJ423" s="454"/>
      <c r="AK423" s="454">
        <f t="shared" si="56"/>
        <v>0</v>
      </c>
      <c r="AL423" s="454">
        <f t="shared" si="55"/>
        <v>820</v>
      </c>
      <c r="AM423" s="454"/>
      <c r="AN423" s="454"/>
      <c r="AO423" s="454"/>
      <c r="AP423" s="454"/>
      <c r="AQ423" s="452"/>
      <c r="AR423" s="452"/>
      <c r="AS423" s="494"/>
      <c r="AT423" s="494"/>
      <c r="AU423" s="495"/>
      <c r="AV423" s="495"/>
      <c r="AW423" s="147"/>
      <c r="AX423" s="119"/>
      <c r="BB423" s="479">
        <v>1</v>
      </c>
      <c r="BC423" s="119">
        <v>6</v>
      </c>
    </row>
    <row r="424" spans="1:55" ht="47.25" x14ac:dyDescent="0.25">
      <c r="A424" s="448">
        <v>52</v>
      </c>
      <c r="B424" s="449" t="s">
        <v>1429</v>
      </c>
      <c r="C424" s="450" t="s">
        <v>81</v>
      </c>
      <c r="D424" s="450" t="s">
        <v>1430</v>
      </c>
      <c r="E424" s="450" t="s">
        <v>61</v>
      </c>
      <c r="F424" s="450"/>
      <c r="G424" s="452"/>
      <c r="H424" s="452"/>
      <c r="I424" s="492"/>
      <c r="J424" s="492"/>
      <c r="K424" s="492"/>
      <c r="L424" s="492"/>
      <c r="M424" s="492"/>
      <c r="N424" s="492"/>
      <c r="O424" s="492"/>
      <c r="P424" s="492"/>
      <c r="Q424" s="492"/>
      <c r="R424" s="492"/>
      <c r="S424" s="492"/>
      <c r="T424" s="492"/>
      <c r="U424" s="492"/>
      <c r="V424" s="492"/>
      <c r="W424" s="492"/>
      <c r="X424" s="453">
        <v>200</v>
      </c>
      <c r="Y424" s="453">
        <v>200</v>
      </c>
      <c r="Z424" s="453"/>
      <c r="AA424" s="453"/>
      <c r="AB424" s="453"/>
      <c r="AC424" s="452"/>
      <c r="AD424" s="452"/>
      <c r="AE424" s="452"/>
      <c r="AF424" s="452"/>
      <c r="AG424" s="452"/>
      <c r="AH424" s="452"/>
      <c r="AI424" s="452"/>
      <c r="AJ424" s="454"/>
      <c r="AK424" s="454">
        <f t="shared" si="56"/>
        <v>0</v>
      </c>
      <c r="AL424" s="454">
        <f t="shared" si="55"/>
        <v>200</v>
      </c>
      <c r="AM424" s="454"/>
      <c r="AN424" s="454"/>
      <c r="AO424" s="454"/>
      <c r="AP424" s="454"/>
      <c r="AQ424" s="452"/>
      <c r="AR424" s="452"/>
      <c r="AS424" s="494"/>
      <c r="AT424" s="494"/>
      <c r="AU424" s="495"/>
      <c r="AV424" s="495"/>
      <c r="AW424" s="147"/>
      <c r="AX424" s="119"/>
      <c r="BB424" s="479">
        <v>1</v>
      </c>
      <c r="BC424" s="119">
        <v>6</v>
      </c>
    </row>
    <row r="425" spans="1:55" ht="41.25" customHeight="1" x14ac:dyDescent="0.25">
      <c r="A425" s="426" t="s">
        <v>709</v>
      </c>
      <c r="B425" s="427" t="s">
        <v>86</v>
      </c>
      <c r="C425" s="464"/>
      <c r="D425" s="464"/>
      <c r="E425" s="464"/>
      <c r="F425" s="464"/>
      <c r="G425" s="465"/>
      <c r="H425" s="465"/>
      <c r="I425" s="465"/>
      <c r="J425" s="465"/>
      <c r="K425" s="465"/>
      <c r="L425" s="465"/>
      <c r="M425" s="465"/>
      <c r="N425" s="465"/>
      <c r="O425" s="465"/>
      <c r="P425" s="465">
        <f t="shared" ref="P425:AV425" si="57">+P426+P427</f>
        <v>0</v>
      </c>
      <c r="Q425" s="465">
        <f t="shared" si="57"/>
        <v>0</v>
      </c>
      <c r="R425" s="465">
        <f t="shared" si="57"/>
        <v>0</v>
      </c>
      <c r="S425" s="465">
        <f t="shared" si="57"/>
        <v>0</v>
      </c>
      <c r="T425" s="465">
        <f t="shared" si="57"/>
        <v>0</v>
      </c>
      <c r="U425" s="465">
        <f t="shared" si="57"/>
        <v>0</v>
      </c>
      <c r="V425" s="465">
        <f t="shared" si="57"/>
        <v>0</v>
      </c>
      <c r="W425" s="465">
        <f t="shared" si="57"/>
        <v>0</v>
      </c>
      <c r="X425" s="465">
        <f t="shared" si="57"/>
        <v>91040.100999999995</v>
      </c>
      <c r="Y425" s="465">
        <f t="shared" si="57"/>
        <v>81715.380999999994</v>
      </c>
      <c r="Z425" s="465">
        <f t="shared" si="57"/>
        <v>0</v>
      </c>
      <c r="AA425" s="465">
        <f t="shared" si="57"/>
        <v>0</v>
      </c>
      <c r="AB425" s="465">
        <f t="shared" si="57"/>
        <v>0</v>
      </c>
      <c r="AC425" s="465">
        <f t="shared" si="57"/>
        <v>0</v>
      </c>
      <c r="AD425" s="465">
        <f t="shared" si="57"/>
        <v>12145</v>
      </c>
      <c r="AE425" s="465">
        <f t="shared" si="57"/>
        <v>4155</v>
      </c>
      <c r="AF425" s="465">
        <f t="shared" si="57"/>
        <v>0</v>
      </c>
      <c r="AG425" s="465">
        <f t="shared" si="57"/>
        <v>0</v>
      </c>
      <c r="AH425" s="465">
        <f t="shared" si="57"/>
        <v>8449.9</v>
      </c>
      <c r="AI425" s="465">
        <f t="shared" si="57"/>
        <v>8449.9</v>
      </c>
      <c r="AJ425" s="465">
        <f t="shared" si="57"/>
        <v>0</v>
      </c>
      <c r="AK425" s="465">
        <f t="shared" si="57"/>
        <v>27444.436999999998</v>
      </c>
      <c r="AL425" s="465">
        <f t="shared" si="57"/>
        <v>21782.817999999999</v>
      </c>
      <c r="AM425" s="466">
        <f t="shared" si="57"/>
        <v>93636</v>
      </c>
      <c r="AN425" s="542">
        <f t="shared" si="57"/>
        <v>83245</v>
      </c>
      <c r="AO425" s="543">
        <f t="shared" si="57"/>
        <v>0</v>
      </c>
      <c r="AP425" s="543">
        <f t="shared" si="57"/>
        <v>0</v>
      </c>
      <c r="AQ425" s="544">
        <f t="shared" si="57"/>
        <v>8450</v>
      </c>
      <c r="AR425" s="544">
        <f t="shared" si="57"/>
        <v>8450</v>
      </c>
      <c r="AS425" s="544">
        <f t="shared" si="57"/>
        <v>106455</v>
      </c>
      <c r="AT425" s="545">
        <f t="shared" si="57"/>
        <v>83245</v>
      </c>
      <c r="AU425" s="546">
        <f t="shared" si="57"/>
        <v>0</v>
      </c>
      <c r="AV425" s="546">
        <f t="shared" si="57"/>
        <v>0</v>
      </c>
      <c r="AW425" s="547"/>
      <c r="AX425" s="119"/>
      <c r="BB425" s="479">
        <v>1</v>
      </c>
      <c r="BC425" s="119">
        <v>6</v>
      </c>
    </row>
    <row r="426" spans="1:55" ht="47.25" x14ac:dyDescent="0.25">
      <c r="A426" s="469" t="s">
        <v>730</v>
      </c>
      <c r="B426" s="470" t="s">
        <v>731</v>
      </c>
      <c r="C426" s="471"/>
      <c r="D426" s="471"/>
      <c r="E426" s="471"/>
      <c r="F426" s="471"/>
      <c r="G426" s="472"/>
      <c r="H426" s="472"/>
      <c r="I426" s="473"/>
      <c r="J426" s="473"/>
      <c r="K426" s="473"/>
      <c r="L426" s="473"/>
      <c r="M426" s="473"/>
      <c r="N426" s="473"/>
      <c r="O426" s="473"/>
      <c r="P426" s="473"/>
      <c r="Q426" s="473"/>
      <c r="R426" s="473"/>
      <c r="S426" s="473"/>
      <c r="T426" s="473"/>
      <c r="U426" s="473"/>
      <c r="V426" s="473"/>
      <c r="W426" s="473"/>
      <c r="X426" s="474">
        <v>4095</v>
      </c>
      <c r="Y426" s="474">
        <v>3695.28</v>
      </c>
      <c r="Z426" s="474"/>
      <c r="AA426" s="474"/>
      <c r="AB426" s="474"/>
      <c r="AC426" s="472"/>
      <c r="AD426" s="472">
        <v>4095</v>
      </c>
      <c r="AE426" s="472">
        <v>3695.28</v>
      </c>
      <c r="AF426" s="472"/>
      <c r="AG426" s="472"/>
      <c r="AH426" s="472"/>
      <c r="AI426" s="472"/>
      <c r="AJ426" s="475"/>
      <c r="AK426" s="475">
        <f>IF(AN426-Y426&gt;0,AM426-Y426,0)</f>
        <v>0</v>
      </c>
      <c r="AL426" s="475">
        <f>IF(Y426-AN426&gt;0,Y426-AN426,0)</f>
        <v>0.28000000000020009</v>
      </c>
      <c r="AM426" s="548">
        <v>4095</v>
      </c>
      <c r="AN426" s="549">
        <v>3695</v>
      </c>
      <c r="AO426" s="550"/>
      <c r="AP426" s="550"/>
      <c r="AQ426" s="551"/>
      <c r="AR426" s="551">
        <v>400</v>
      </c>
      <c r="AS426" s="552">
        <v>4095</v>
      </c>
      <c r="AT426" s="552">
        <f>AN426-AR426</f>
        <v>3295</v>
      </c>
      <c r="AU426" s="495"/>
      <c r="AV426" s="495"/>
      <c r="AW426" s="97" t="s">
        <v>1431</v>
      </c>
      <c r="AX426" s="119"/>
      <c r="BB426" s="479">
        <v>1</v>
      </c>
      <c r="BC426" s="119">
        <v>2</v>
      </c>
    </row>
    <row r="427" spans="1:55" ht="42.75" customHeight="1" x14ac:dyDescent="0.25">
      <c r="A427" s="469" t="s">
        <v>730</v>
      </c>
      <c r="B427" s="470" t="s">
        <v>1432</v>
      </c>
      <c r="C427" s="471"/>
      <c r="D427" s="471"/>
      <c r="E427" s="471"/>
      <c r="F427" s="471"/>
      <c r="G427" s="472"/>
      <c r="H427" s="472"/>
      <c r="I427" s="472"/>
      <c r="J427" s="472"/>
      <c r="K427" s="472"/>
      <c r="L427" s="472"/>
      <c r="M427" s="472"/>
      <c r="N427" s="472"/>
      <c r="O427" s="472"/>
      <c r="P427" s="472">
        <f t="shared" ref="P427:W427" si="58">+SUM(P428:P493)</f>
        <v>0</v>
      </c>
      <c r="Q427" s="472">
        <f t="shared" si="58"/>
        <v>0</v>
      </c>
      <c r="R427" s="472">
        <f t="shared" si="58"/>
        <v>0</v>
      </c>
      <c r="S427" s="472">
        <f t="shared" si="58"/>
        <v>0</v>
      </c>
      <c r="T427" s="472">
        <f t="shared" si="58"/>
        <v>0</v>
      </c>
      <c r="U427" s="472">
        <f t="shared" si="58"/>
        <v>0</v>
      </c>
      <c r="V427" s="472">
        <f t="shared" si="58"/>
        <v>0</v>
      </c>
      <c r="W427" s="472">
        <f t="shared" si="58"/>
        <v>0</v>
      </c>
      <c r="X427" s="472">
        <f>+SUM(X428:X501)</f>
        <v>86945.100999999995</v>
      </c>
      <c r="Y427" s="472">
        <f>+SUM(Y428:Y501)</f>
        <v>78020.100999999995</v>
      </c>
      <c r="Z427" s="472">
        <f t="shared" ref="Z427:AJ427" si="59">+SUM(Z428:Z493)</f>
        <v>0</v>
      </c>
      <c r="AA427" s="472">
        <f t="shared" si="59"/>
        <v>0</v>
      </c>
      <c r="AB427" s="472">
        <f t="shared" si="59"/>
        <v>0</v>
      </c>
      <c r="AC427" s="472">
        <f t="shared" si="59"/>
        <v>0</v>
      </c>
      <c r="AD427" s="472">
        <f t="shared" si="59"/>
        <v>8050</v>
      </c>
      <c r="AE427" s="472">
        <f t="shared" si="59"/>
        <v>459.72</v>
      </c>
      <c r="AF427" s="472">
        <f t="shared" si="59"/>
        <v>0</v>
      </c>
      <c r="AG427" s="472">
        <f t="shared" si="59"/>
        <v>0</v>
      </c>
      <c r="AH427" s="472">
        <f t="shared" si="59"/>
        <v>8449.9</v>
      </c>
      <c r="AI427" s="472">
        <f t="shared" si="59"/>
        <v>8449.9</v>
      </c>
      <c r="AJ427" s="472">
        <f t="shared" si="59"/>
        <v>0</v>
      </c>
      <c r="AK427" s="472">
        <f>+SUM(AK428:AK503)</f>
        <v>27444.436999999998</v>
      </c>
      <c r="AL427" s="472">
        <f>+SUM(AL428:AL503)</f>
        <v>21782.538</v>
      </c>
      <c r="AM427" s="490">
        <f>+SUM(AM428:AM505)</f>
        <v>89541</v>
      </c>
      <c r="AN427" s="553">
        <f>+SUM(AN428:AN505)</f>
        <v>79550</v>
      </c>
      <c r="AO427" s="553">
        <f t="shared" ref="AO427:AV427" si="60">+SUM(AO428:AO505)</f>
        <v>0</v>
      </c>
      <c r="AP427" s="553">
        <f t="shared" si="60"/>
        <v>0</v>
      </c>
      <c r="AQ427" s="554">
        <f t="shared" si="60"/>
        <v>8450</v>
      </c>
      <c r="AR427" s="554">
        <f t="shared" si="60"/>
        <v>8050</v>
      </c>
      <c r="AS427" s="554">
        <f t="shared" si="60"/>
        <v>102360</v>
      </c>
      <c r="AT427" s="554">
        <f t="shared" si="60"/>
        <v>79950</v>
      </c>
      <c r="AU427" s="553">
        <f t="shared" si="60"/>
        <v>0</v>
      </c>
      <c r="AV427" s="553">
        <f t="shared" si="60"/>
        <v>0</v>
      </c>
      <c r="AW427" s="10"/>
      <c r="AX427" s="119"/>
      <c r="BB427" s="479">
        <v>1</v>
      </c>
      <c r="BC427" s="119">
        <v>6</v>
      </c>
    </row>
    <row r="428" spans="1:55" s="563" customFormat="1" ht="31.5" x14ac:dyDescent="0.25">
      <c r="A428" s="555">
        <v>1</v>
      </c>
      <c r="B428" s="556" t="s">
        <v>1433</v>
      </c>
      <c r="C428" s="557"/>
      <c r="D428" s="557"/>
      <c r="E428" s="557"/>
      <c r="F428" s="556"/>
      <c r="G428" s="493"/>
      <c r="H428" s="493"/>
      <c r="I428" s="558"/>
      <c r="J428" s="558"/>
      <c r="K428" s="558"/>
      <c r="L428" s="558"/>
      <c r="M428" s="558"/>
      <c r="N428" s="558"/>
      <c r="O428" s="558"/>
      <c r="P428" s="558"/>
      <c r="Q428" s="558"/>
      <c r="R428" s="558"/>
      <c r="S428" s="558"/>
      <c r="T428" s="558"/>
      <c r="U428" s="558"/>
      <c r="V428" s="558"/>
      <c r="W428" s="558"/>
      <c r="X428" s="559">
        <v>630</v>
      </c>
      <c r="Y428" s="559">
        <v>630</v>
      </c>
      <c r="Z428" s="559"/>
      <c r="AA428" s="559"/>
      <c r="AB428" s="559"/>
      <c r="AC428" s="493"/>
      <c r="AD428" s="493">
        <v>630</v>
      </c>
      <c r="AE428" s="493"/>
      <c r="AF428" s="493"/>
      <c r="AG428" s="493"/>
      <c r="AH428" s="493"/>
      <c r="AI428" s="493"/>
      <c r="AJ428" s="560"/>
      <c r="AK428" s="560">
        <f>IF(AN428-Y428&gt;0,AM428-Y428,0)</f>
        <v>0</v>
      </c>
      <c r="AL428" s="560">
        <f>IF(Y428-AN428&gt;0,Y428-AN428,0)</f>
        <v>0</v>
      </c>
      <c r="AM428" s="561">
        <v>900</v>
      </c>
      <c r="AN428" s="561">
        <v>630</v>
      </c>
      <c r="AO428" s="560"/>
      <c r="AP428" s="560"/>
      <c r="AQ428" s="561">
        <v>0</v>
      </c>
      <c r="AR428" s="562">
        <v>630</v>
      </c>
      <c r="AS428" s="562">
        <v>900</v>
      </c>
      <c r="AT428" s="562"/>
      <c r="AU428" s="499"/>
      <c r="AV428" s="499"/>
      <c r="AW428" s="25" t="s">
        <v>1434</v>
      </c>
      <c r="BB428" s="489">
        <v>1</v>
      </c>
      <c r="BC428" s="563">
        <v>6</v>
      </c>
    </row>
    <row r="429" spans="1:55" ht="31.5" x14ac:dyDescent="0.25">
      <c r="A429" s="524">
        <v>2</v>
      </c>
      <c r="B429" s="564" t="s">
        <v>1435</v>
      </c>
      <c r="C429" s="450"/>
      <c r="D429" s="450"/>
      <c r="E429" s="450"/>
      <c r="F429" s="564"/>
      <c r="G429" s="452"/>
      <c r="H429" s="452"/>
      <c r="I429" s="492"/>
      <c r="J429" s="492"/>
      <c r="K429" s="492"/>
      <c r="L429" s="492"/>
      <c r="M429" s="492"/>
      <c r="N429" s="492"/>
      <c r="O429" s="492"/>
      <c r="P429" s="492"/>
      <c r="Q429" s="492"/>
      <c r="R429" s="492"/>
      <c r="S429" s="492"/>
      <c r="T429" s="492"/>
      <c r="U429" s="492"/>
      <c r="V429" s="492"/>
      <c r="W429" s="492"/>
      <c r="X429" s="453">
        <v>1840.0920000000001</v>
      </c>
      <c r="Y429" s="453">
        <v>1840.0920000000001</v>
      </c>
      <c r="Z429" s="453"/>
      <c r="AA429" s="453"/>
      <c r="AB429" s="453"/>
      <c r="AC429" s="452"/>
      <c r="AD429" s="452">
        <v>1200</v>
      </c>
      <c r="AE429" s="452"/>
      <c r="AF429" s="452"/>
      <c r="AG429" s="452"/>
      <c r="AH429" s="452">
        <v>640.1</v>
      </c>
      <c r="AI429" s="452">
        <v>640.1</v>
      </c>
      <c r="AJ429" s="454"/>
      <c r="AK429" s="454">
        <f t="shared" ref="AK429:AK489" si="61">IF(AN429-Y429&gt;0,AM429-Y429,0)</f>
        <v>759.9079999999999</v>
      </c>
      <c r="AL429" s="454">
        <f t="shared" ref="AL429:AL490" si="62">IF(Y429-AN429&gt;0,Y429-AN429,0)</f>
        <v>0</v>
      </c>
      <c r="AM429" s="565">
        <v>2600</v>
      </c>
      <c r="AN429" s="566">
        <v>1880</v>
      </c>
      <c r="AO429" s="454"/>
      <c r="AP429" s="454"/>
      <c r="AQ429" s="565"/>
      <c r="AR429" s="562">
        <v>1200</v>
      </c>
      <c r="AS429" s="566">
        <v>2600</v>
      </c>
      <c r="AT429" s="566">
        <v>680</v>
      </c>
      <c r="AU429" s="495"/>
      <c r="AV429" s="495"/>
      <c r="AW429" s="25" t="s">
        <v>1436</v>
      </c>
      <c r="AX429" s="119"/>
      <c r="BB429" s="479">
        <v>1</v>
      </c>
      <c r="BC429" s="119">
        <v>6</v>
      </c>
    </row>
    <row r="430" spans="1:55" ht="31.5" x14ac:dyDescent="0.25">
      <c r="A430" s="524">
        <v>3</v>
      </c>
      <c r="B430" s="567" t="s">
        <v>1437</v>
      </c>
      <c r="C430" s="450"/>
      <c r="D430" s="450"/>
      <c r="E430" s="450"/>
      <c r="F430" s="567"/>
      <c r="G430" s="452"/>
      <c r="H430" s="452"/>
      <c r="I430" s="492"/>
      <c r="J430" s="492"/>
      <c r="K430" s="492"/>
      <c r="L430" s="492"/>
      <c r="M430" s="492"/>
      <c r="N430" s="492"/>
      <c r="O430" s="492"/>
      <c r="P430" s="492"/>
      <c r="Q430" s="492"/>
      <c r="R430" s="492"/>
      <c r="S430" s="492"/>
      <c r="T430" s="492"/>
      <c r="U430" s="492"/>
      <c r="V430" s="492"/>
      <c r="W430" s="492"/>
      <c r="X430" s="453">
        <v>1387.694</v>
      </c>
      <c r="Y430" s="453">
        <v>1387.694</v>
      </c>
      <c r="Z430" s="453"/>
      <c r="AA430" s="453"/>
      <c r="AB430" s="453"/>
      <c r="AC430" s="452"/>
      <c r="AD430" s="452">
        <v>1000</v>
      </c>
      <c r="AE430" s="452"/>
      <c r="AF430" s="452"/>
      <c r="AG430" s="452"/>
      <c r="AH430" s="452">
        <v>387.7</v>
      </c>
      <c r="AI430" s="452">
        <v>387.7</v>
      </c>
      <c r="AJ430" s="454"/>
      <c r="AK430" s="454">
        <f t="shared" si="61"/>
        <v>612.30600000000004</v>
      </c>
      <c r="AL430" s="454">
        <f t="shared" si="62"/>
        <v>0</v>
      </c>
      <c r="AM430" s="565">
        <v>2000</v>
      </c>
      <c r="AN430" s="566">
        <v>1388</v>
      </c>
      <c r="AO430" s="454"/>
      <c r="AP430" s="454"/>
      <c r="AQ430" s="565"/>
      <c r="AR430" s="562">
        <v>1000</v>
      </c>
      <c r="AS430" s="566">
        <v>2000</v>
      </c>
      <c r="AT430" s="566">
        <v>388</v>
      </c>
      <c r="AU430" s="495"/>
      <c r="AV430" s="495"/>
      <c r="AW430" s="25" t="s">
        <v>1438</v>
      </c>
      <c r="AX430" s="119"/>
      <c r="BB430" s="479">
        <v>1</v>
      </c>
      <c r="BC430" s="119">
        <v>2</v>
      </c>
    </row>
    <row r="431" spans="1:55" ht="47.25" x14ac:dyDescent="0.25">
      <c r="A431" s="524">
        <v>4</v>
      </c>
      <c r="B431" s="568" t="s">
        <v>1439</v>
      </c>
      <c r="C431" s="450"/>
      <c r="D431" s="450"/>
      <c r="E431" s="450"/>
      <c r="F431" s="568"/>
      <c r="G431" s="452"/>
      <c r="H431" s="452"/>
      <c r="I431" s="492"/>
      <c r="J431" s="492"/>
      <c r="K431" s="492"/>
      <c r="L431" s="492"/>
      <c r="M431" s="492"/>
      <c r="N431" s="492"/>
      <c r="O431" s="492"/>
      <c r="P431" s="492"/>
      <c r="Q431" s="492"/>
      <c r="R431" s="492"/>
      <c r="S431" s="492"/>
      <c r="T431" s="492"/>
      <c r="U431" s="492"/>
      <c r="V431" s="492"/>
      <c r="W431" s="492"/>
      <c r="X431" s="453">
        <v>1788.12</v>
      </c>
      <c r="Y431" s="453">
        <v>1788.12</v>
      </c>
      <c r="Z431" s="453"/>
      <c r="AA431" s="453"/>
      <c r="AB431" s="453"/>
      <c r="AC431" s="452"/>
      <c r="AD431" s="452">
        <v>1425.5</v>
      </c>
      <c r="AE431" s="452">
        <v>459.72</v>
      </c>
      <c r="AF431" s="452"/>
      <c r="AG431" s="452"/>
      <c r="AH431" s="452">
        <v>362.6</v>
      </c>
      <c r="AI431" s="452">
        <v>362.6</v>
      </c>
      <c r="AJ431" s="454"/>
      <c r="AK431" s="454">
        <f t="shared" si="61"/>
        <v>1206.8800000000001</v>
      </c>
      <c r="AL431" s="454">
        <f t="shared" si="62"/>
        <v>0</v>
      </c>
      <c r="AM431" s="565">
        <v>2995</v>
      </c>
      <c r="AN431" s="566">
        <v>2248</v>
      </c>
      <c r="AO431" s="454"/>
      <c r="AP431" s="454"/>
      <c r="AQ431" s="565"/>
      <c r="AR431" s="562">
        <v>1425</v>
      </c>
      <c r="AS431" s="566">
        <v>2995</v>
      </c>
      <c r="AT431" s="566">
        <v>823</v>
      </c>
      <c r="AU431" s="495"/>
      <c r="AV431" s="495"/>
      <c r="AW431" s="25" t="s">
        <v>1440</v>
      </c>
      <c r="AX431" s="119"/>
      <c r="BB431" s="479">
        <v>1</v>
      </c>
      <c r="BC431" s="119">
        <v>6</v>
      </c>
    </row>
    <row r="432" spans="1:55" ht="31.5" x14ac:dyDescent="0.25">
      <c r="A432" s="524">
        <v>5</v>
      </c>
      <c r="B432" s="564" t="s">
        <v>1441</v>
      </c>
      <c r="C432" s="450"/>
      <c r="D432" s="450"/>
      <c r="E432" s="450"/>
      <c r="F432" s="564"/>
      <c r="G432" s="452"/>
      <c r="H432" s="452"/>
      <c r="I432" s="492"/>
      <c r="J432" s="492"/>
      <c r="K432" s="492"/>
      <c r="L432" s="492"/>
      <c r="M432" s="492"/>
      <c r="N432" s="492"/>
      <c r="O432" s="492"/>
      <c r="P432" s="492"/>
      <c r="Q432" s="492"/>
      <c r="R432" s="492"/>
      <c r="S432" s="492"/>
      <c r="T432" s="492"/>
      <c r="U432" s="492"/>
      <c r="V432" s="492"/>
      <c r="W432" s="492"/>
      <c r="X432" s="453">
        <v>879.5</v>
      </c>
      <c r="Y432" s="453">
        <v>879.5</v>
      </c>
      <c r="Z432" s="453"/>
      <c r="AA432" s="453"/>
      <c r="AB432" s="453"/>
      <c r="AC432" s="452"/>
      <c r="AD432" s="452">
        <v>879.5</v>
      </c>
      <c r="AE432" s="452"/>
      <c r="AF432" s="452"/>
      <c r="AG432" s="452"/>
      <c r="AH432" s="452"/>
      <c r="AI432" s="452">
        <v>0</v>
      </c>
      <c r="AJ432" s="454"/>
      <c r="AK432" s="454">
        <f t="shared" si="61"/>
        <v>0</v>
      </c>
      <c r="AL432" s="454">
        <f t="shared" si="62"/>
        <v>0.5</v>
      </c>
      <c r="AM432" s="565">
        <v>1200</v>
      </c>
      <c r="AN432" s="566">
        <v>879</v>
      </c>
      <c r="AO432" s="454"/>
      <c r="AP432" s="454"/>
      <c r="AQ432" s="565"/>
      <c r="AR432" s="562">
        <v>880</v>
      </c>
      <c r="AS432" s="566">
        <v>1200</v>
      </c>
      <c r="AT432" s="566">
        <v>0</v>
      </c>
      <c r="AU432" s="495"/>
      <c r="AV432" s="495"/>
      <c r="AW432" s="25" t="s">
        <v>1442</v>
      </c>
      <c r="AX432" s="119"/>
      <c r="BB432" s="479">
        <v>1</v>
      </c>
      <c r="BC432" s="119">
        <v>2</v>
      </c>
    </row>
    <row r="433" spans="1:55" ht="31.5" x14ac:dyDescent="0.25">
      <c r="A433" s="524">
        <v>6</v>
      </c>
      <c r="B433" s="569" t="s">
        <v>1443</v>
      </c>
      <c r="C433" s="450"/>
      <c r="D433" s="450"/>
      <c r="E433" s="450"/>
      <c r="F433" s="569"/>
      <c r="G433" s="452"/>
      <c r="H433" s="452"/>
      <c r="I433" s="492"/>
      <c r="J433" s="492"/>
      <c r="K433" s="492"/>
      <c r="L433" s="492"/>
      <c r="M433" s="492"/>
      <c r="N433" s="492"/>
      <c r="O433" s="492"/>
      <c r="P433" s="492"/>
      <c r="Q433" s="492"/>
      <c r="R433" s="492"/>
      <c r="S433" s="492"/>
      <c r="T433" s="492"/>
      <c r="U433" s="492"/>
      <c r="V433" s="492"/>
      <c r="W433" s="492"/>
      <c r="X433" s="453">
        <v>1115</v>
      </c>
      <c r="Y433" s="453">
        <v>1115</v>
      </c>
      <c r="Z433" s="453"/>
      <c r="AA433" s="453"/>
      <c r="AB433" s="453"/>
      <c r="AC433" s="452"/>
      <c r="AD433" s="452">
        <v>1115</v>
      </c>
      <c r="AE433" s="452"/>
      <c r="AF433" s="452"/>
      <c r="AG433" s="452"/>
      <c r="AH433" s="452"/>
      <c r="AI433" s="452">
        <v>0</v>
      </c>
      <c r="AJ433" s="454"/>
      <c r="AK433" s="454">
        <f t="shared" si="61"/>
        <v>0</v>
      </c>
      <c r="AL433" s="454">
        <f t="shared" si="62"/>
        <v>0</v>
      </c>
      <c r="AM433" s="565">
        <v>1500</v>
      </c>
      <c r="AN433" s="566">
        <v>1115</v>
      </c>
      <c r="AO433" s="454"/>
      <c r="AP433" s="454"/>
      <c r="AQ433" s="565"/>
      <c r="AR433" s="562">
        <v>1115</v>
      </c>
      <c r="AS433" s="566">
        <v>1500</v>
      </c>
      <c r="AT433" s="566">
        <v>0</v>
      </c>
      <c r="AU433" s="495"/>
      <c r="AV433" s="495"/>
      <c r="AW433" s="25" t="s">
        <v>1444</v>
      </c>
      <c r="AX433" s="119"/>
      <c r="BB433" s="479">
        <v>1</v>
      </c>
      <c r="BC433" s="119">
        <v>6</v>
      </c>
    </row>
    <row r="434" spans="1:55" ht="31.5" x14ac:dyDescent="0.25">
      <c r="A434" s="524">
        <v>7</v>
      </c>
      <c r="B434" s="569" t="s">
        <v>1445</v>
      </c>
      <c r="C434" s="450"/>
      <c r="D434" s="450"/>
      <c r="E434" s="450"/>
      <c r="F434" s="569"/>
      <c r="G434" s="452"/>
      <c r="H434" s="452"/>
      <c r="I434" s="492"/>
      <c r="J434" s="492"/>
      <c r="K434" s="492"/>
      <c r="L434" s="492"/>
      <c r="M434" s="492"/>
      <c r="N434" s="492"/>
      <c r="O434" s="492"/>
      <c r="P434" s="492"/>
      <c r="Q434" s="492"/>
      <c r="R434" s="492"/>
      <c r="S434" s="492"/>
      <c r="T434" s="492"/>
      <c r="U434" s="492"/>
      <c r="V434" s="492"/>
      <c r="W434" s="492"/>
      <c r="X434" s="453">
        <v>985.03800000000001</v>
      </c>
      <c r="Y434" s="453">
        <v>985.03800000000001</v>
      </c>
      <c r="Z434" s="453"/>
      <c r="AA434" s="453"/>
      <c r="AB434" s="453"/>
      <c r="AC434" s="452"/>
      <c r="AD434" s="452">
        <v>900</v>
      </c>
      <c r="AE434" s="452"/>
      <c r="AF434" s="452"/>
      <c r="AG434" s="452"/>
      <c r="AH434" s="452">
        <v>85</v>
      </c>
      <c r="AI434" s="452">
        <v>85</v>
      </c>
      <c r="AJ434" s="454"/>
      <c r="AK434" s="454">
        <f t="shared" si="61"/>
        <v>0</v>
      </c>
      <c r="AL434" s="454">
        <f t="shared" si="62"/>
        <v>3.8000000000010914E-2</v>
      </c>
      <c r="AM434" s="565">
        <v>1500</v>
      </c>
      <c r="AN434" s="566">
        <v>985</v>
      </c>
      <c r="AO434" s="454"/>
      <c r="AP434" s="454"/>
      <c r="AQ434" s="565"/>
      <c r="AR434" s="562">
        <v>900</v>
      </c>
      <c r="AS434" s="566">
        <v>1500</v>
      </c>
      <c r="AT434" s="566">
        <v>85</v>
      </c>
      <c r="AU434" s="495"/>
      <c r="AV434" s="495"/>
      <c r="AW434" s="25" t="s">
        <v>1446</v>
      </c>
      <c r="AX434" s="119"/>
      <c r="BB434" s="479">
        <v>1</v>
      </c>
      <c r="BC434" s="119">
        <v>6</v>
      </c>
    </row>
    <row r="435" spans="1:55" ht="31.5" x14ac:dyDescent="0.25">
      <c r="A435" s="524">
        <v>8</v>
      </c>
      <c r="B435" s="569" t="s">
        <v>1447</v>
      </c>
      <c r="C435" s="450"/>
      <c r="D435" s="450"/>
      <c r="E435" s="450"/>
      <c r="F435" s="569"/>
      <c r="G435" s="452"/>
      <c r="H435" s="452"/>
      <c r="I435" s="492"/>
      <c r="J435" s="492"/>
      <c r="K435" s="492"/>
      <c r="L435" s="492"/>
      <c r="M435" s="492"/>
      <c r="N435" s="492"/>
      <c r="O435" s="492"/>
      <c r="P435" s="492"/>
      <c r="Q435" s="492"/>
      <c r="R435" s="492"/>
      <c r="S435" s="492"/>
      <c r="T435" s="492"/>
      <c r="U435" s="492"/>
      <c r="V435" s="492"/>
      <c r="W435" s="492"/>
      <c r="X435" s="453">
        <v>954.65700000000004</v>
      </c>
      <c r="Y435" s="453">
        <v>954.65700000000004</v>
      </c>
      <c r="Z435" s="453"/>
      <c r="AA435" s="453"/>
      <c r="AB435" s="453"/>
      <c r="AC435" s="452"/>
      <c r="AD435" s="452">
        <v>900</v>
      </c>
      <c r="AE435" s="452"/>
      <c r="AF435" s="452"/>
      <c r="AG435" s="452"/>
      <c r="AH435" s="452">
        <v>54.6</v>
      </c>
      <c r="AI435" s="452">
        <v>54.6</v>
      </c>
      <c r="AJ435" s="454"/>
      <c r="AK435" s="454">
        <f t="shared" si="61"/>
        <v>545.34299999999996</v>
      </c>
      <c r="AL435" s="454">
        <f t="shared" si="62"/>
        <v>0</v>
      </c>
      <c r="AM435" s="570">
        <v>1500</v>
      </c>
      <c r="AN435" s="566">
        <v>955</v>
      </c>
      <c r="AO435" s="454"/>
      <c r="AP435" s="454"/>
      <c r="AQ435" s="566"/>
      <c r="AR435" s="562">
        <v>900</v>
      </c>
      <c r="AS435" s="566">
        <v>1500</v>
      </c>
      <c r="AT435" s="566">
        <v>55</v>
      </c>
      <c r="AU435" s="495"/>
      <c r="AV435" s="495"/>
      <c r="AW435" s="25" t="s">
        <v>1446</v>
      </c>
      <c r="AX435" s="119"/>
      <c r="BB435" s="479">
        <v>1</v>
      </c>
      <c r="BC435" s="119">
        <v>6</v>
      </c>
    </row>
    <row r="436" spans="1:55" ht="31.5" x14ac:dyDescent="0.25">
      <c r="A436" s="524">
        <v>9</v>
      </c>
      <c r="B436" s="567" t="s">
        <v>1448</v>
      </c>
      <c r="C436" s="450"/>
      <c r="D436" s="450"/>
      <c r="E436" s="450"/>
      <c r="F436" s="567"/>
      <c r="G436" s="452"/>
      <c r="H436" s="452"/>
      <c r="I436" s="492"/>
      <c r="J436" s="492"/>
      <c r="K436" s="492"/>
      <c r="L436" s="492"/>
      <c r="M436" s="492"/>
      <c r="N436" s="492"/>
      <c r="O436" s="492"/>
      <c r="P436" s="492"/>
      <c r="Q436" s="492"/>
      <c r="R436" s="492"/>
      <c r="S436" s="492"/>
      <c r="T436" s="492"/>
      <c r="U436" s="492"/>
      <c r="V436" s="492"/>
      <c r="W436" s="492"/>
      <c r="X436" s="453">
        <v>1200</v>
      </c>
      <c r="Y436" s="453">
        <v>630</v>
      </c>
      <c r="Z436" s="453"/>
      <c r="AA436" s="453"/>
      <c r="AB436" s="453"/>
      <c r="AC436" s="452"/>
      <c r="AD436" s="452"/>
      <c r="AE436" s="452"/>
      <c r="AF436" s="452"/>
      <c r="AG436" s="452"/>
      <c r="AH436" s="452">
        <v>630</v>
      </c>
      <c r="AI436" s="452">
        <v>630</v>
      </c>
      <c r="AJ436" s="454"/>
      <c r="AK436" s="454">
        <f t="shared" si="61"/>
        <v>570</v>
      </c>
      <c r="AL436" s="454">
        <f t="shared" si="62"/>
        <v>0</v>
      </c>
      <c r="AM436" s="570">
        <v>1200</v>
      </c>
      <c r="AN436" s="566">
        <v>703</v>
      </c>
      <c r="AO436" s="454"/>
      <c r="AP436" s="454"/>
      <c r="AQ436" s="566"/>
      <c r="AR436" s="566"/>
      <c r="AS436" s="566">
        <v>1200</v>
      </c>
      <c r="AT436" s="566">
        <v>703</v>
      </c>
      <c r="AU436" s="495"/>
      <c r="AV436" s="495"/>
      <c r="AW436" s="10"/>
      <c r="AX436" s="119"/>
      <c r="BB436" s="479">
        <v>1</v>
      </c>
      <c r="BC436" s="119">
        <v>6</v>
      </c>
    </row>
    <row r="437" spans="1:55" ht="31.5" x14ac:dyDescent="0.25">
      <c r="A437" s="524">
        <v>10</v>
      </c>
      <c r="B437" s="567" t="s">
        <v>1449</v>
      </c>
      <c r="C437" s="450"/>
      <c r="D437" s="450"/>
      <c r="E437" s="450"/>
      <c r="F437" s="567"/>
      <c r="G437" s="452"/>
      <c r="H437" s="452"/>
      <c r="I437" s="492"/>
      <c r="J437" s="492"/>
      <c r="K437" s="492"/>
      <c r="L437" s="492"/>
      <c r="M437" s="492"/>
      <c r="N437" s="492"/>
      <c r="O437" s="492"/>
      <c r="P437" s="492"/>
      <c r="Q437" s="492"/>
      <c r="R437" s="492"/>
      <c r="S437" s="492"/>
      <c r="T437" s="492"/>
      <c r="U437" s="492"/>
      <c r="V437" s="492"/>
      <c r="W437" s="492"/>
      <c r="X437" s="453">
        <v>2000</v>
      </c>
      <c r="Y437" s="453">
        <v>1400</v>
      </c>
      <c r="Z437" s="453"/>
      <c r="AA437" s="453"/>
      <c r="AB437" s="453"/>
      <c r="AC437" s="452"/>
      <c r="AD437" s="452"/>
      <c r="AE437" s="452"/>
      <c r="AF437" s="452"/>
      <c r="AG437" s="452"/>
      <c r="AH437" s="452">
        <v>848</v>
      </c>
      <c r="AI437" s="452">
        <v>848</v>
      </c>
      <c r="AJ437" s="454"/>
      <c r="AK437" s="454">
        <f t="shared" si="61"/>
        <v>0</v>
      </c>
      <c r="AL437" s="454">
        <f t="shared" si="62"/>
        <v>258</v>
      </c>
      <c r="AM437" s="570">
        <v>2000</v>
      </c>
      <c r="AN437" s="566">
        <v>1142</v>
      </c>
      <c r="AO437" s="454"/>
      <c r="AP437" s="454"/>
      <c r="AQ437" s="566"/>
      <c r="AR437" s="566"/>
      <c r="AS437" s="566">
        <v>2000</v>
      </c>
      <c r="AT437" s="566">
        <v>1142</v>
      </c>
      <c r="AU437" s="495"/>
      <c r="AV437" s="495"/>
      <c r="AW437" s="10"/>
      <c r="AX437" s="119"/>
      <c r="BB437" s="479">
        <v>1</v>
      </c>
      <c r="BC437" s="119">
        <v>6</v>
      </c>
    </row>
    <row r="438" spans="1:55" ht="31.5" x14ac:dyDescent="0.25">
      <c r="A438" s="524">
        <v>11</v>
      </c>
      <c r="B438" s="564" t="s">
        <v>1450</v>
      </c>
      <c r="C438" s="450"/>
      <c r="D438" s="450"/>
      <c r="E438" s="450"/>
      <c r="F438" s="564"/>
      <c r="G438" s="452"/>
      <c r="H438" s="452"/>
      <c r="I438" s="492"/>
      <c r="J438" s="492"/>
      <c r="K438" s="492"/>
      <c r="L438" s="492"/>
      <c r="M438" s="492"/>
      <c r="N438" s="492"/>
      <c r="O438" s="492"/>
      <c r="P438" s="492"/>
      <c r="Q438" s="492"/>
      <c r="R438" s="492"/>
      <c r="S438" s="492"/>
      <c r="T438" s="492"/>
      <c r="U438" s="492"/>
      <c r="V438" s="492"/>
      <c r="W438" s="492"/>
      <c r="X438" s="453">
        <v>1200</v>
      </c>
      <c r="Y438" s="453">
        <v>840</v>
      </c>
      <c r="Z438" s="453"/>
      <c r="AA438" s="453"/>
      <c r="AB438" s="453"/>
      <c r="AC438" s="452"/>
      <c r="AD438" s="452"/>
      <c r="AE438" s="452"/>
      <c r="AF438" s="452"/>
      <c r="AG438" s="452"/>
      <c r="AH438" s="452">
        <v>645</v>
      </c>
      <c r="AI438" s="452">
        <v>645</v>
      </c>
      <c r="AJ438" s="454"/>
      <c r="AK438" s="454">
        <f t="shared" si="61"/>
        <v>0</v>
      </c>
      <c r="AL438" s="454">
        <f t="shared" si="62"/>
        <v>1</v>
      </c>
      <c r="AM438" s="570">
        <v>1200</v>
      </c>
      <c r="AN438" s="566">
        <v>839</v>
      </c>
      <c r="AO438" s="454"/>
      <c r="AP438" s="454"/>
      <c r="AQ438" s="566"/>
      <c r="AR438" s="566"/>
      <c r="AS438" s="566">
        <v>1200</v>
      </c>
      <c r="AT438" s="566">
        <v>839</v>
      </c>
      <c r="AU438" s="495"/>
      <c r="AV438" s="495"/>
      <c r="AW438" s="10"/>
      <c r="AX438" s="119"/>
      <c r="BB438" s="479">
        <v>1</v>
      </c>
      <c r="BC438" s="119">
        <v>6</v>
      </c>
    </row>
    <row r="439" spans="1:55" ht="31.5" x14ac:dyDescent="0.25">
      <c r="A439" s="524">
        <v>12</v>
      </c>
      <c r="B439" s="564" t="s">
        <v>1451</v>
      </c>
      <c r="C439" s="450"/>
      <c r="D439" s="450"/>
      <c r="E439" s="450"/>
      <c r="F439" s="564"/>
      <c r="G439" s="452"/>
      <c r="H439" s="452"/>
      <c r="I439" s="492"/>
      <c r="J439" s="492"/>
      <c r="K439" s="492"/>
      <c r="L439" s="492"/>
      <c r="M439" s="492"/>
      <c r="N439" s="492"/>
      <c r="O439" s="492"/>
      <c r="P439" s="492"/>
      <c r="Q439" s="492"/>
      <c r="R439" s="492"/>
      <c r="S439" s="492"/>
      <c r="T439" s="492"/>
      <c r="U439" s="492"/>
      <c r="V439" s="492"/>
      <c r="W439" s="492"/>
      <c r="X439" s="453">
        <v>1200</v>
      </c>
      <c r="Y439" s="453">
        <v>840</v>
      </c>
      <c r="Z439" s="453"/>
      <c r="AA439" s="453"/>
      <c r="AB439" s="453"/>
      <c r="AC439" s="452"/>
      <c r="AD439" s="452"/>
      <c r="AE439" s="452"/>
      <c r="AF439" s="452"/>
      <c r="AG439" s="452"/>
      <c r="AH439" s="452">
        <v>645</v>
      </c>
      <c r="AI439" s="452">
        <v>645</v>
      </c>
      <c r="AJ439" s="454"/>
      <c r="AK439" s="454">
        <f t="shared" si="61"/>
        <v>0</v>
      </c>
      <c r="AL439" s="454">
        <f t="shared" si="62"/>
        <v>5</v>
      </c>
      <c r="AM439" s="570">
        <v>1200</v>
      </c>
      <c r="AN439" s="566">
        <v>835</v>
      </c>
      <c r="AO439" s="454"/>
      <c r="AP439" s="454"/>
      <c r="AQ439" s="566"/>
      <c r="AR439" s="566"/>
      <c r="AS439" s="566">
        <v>1200</v>
      </c>
      <c r="AT439" s="566">
        <v>835</v>
      </c>
      <c r="AU439" s="495"/>
      <c r="AV439" s="495"/>
      <c r="AW439" s="10"/>
      <c r="AX439" s="119"/>
      <c r="BB439" s="479">
        <v>1</v>
      </c>
      <c r="BC439" s="119">
        <v>6</v>
      </c>
    </row>
    <row r="440" spans="1:55" ht="31.5" x14ac:dyDescent="0.25">
      <c r="A440" s="524">
        <v>13</v>
      </c>
      <c r="B440" s="564" t="s">
        <v>1452</v>
      </c>
      <c r="C440" s="450"/>
      <c r="D440" s="450"/>
      <c r="E440" s="450"/>
      <c r="F440" s="564"/>
      <c r="G440" s="452"/>
      <c r="H440" s="452"/>
      <c r="I440" s="492"/>
      <c r="J440" s="492"/>
      <c r="K440" s="492"/>
      <c r="L440" s="492"/>
      <c r="M440" s="492"/>
      <c r="N440" s="492"/>
      <c r="O440" s="492"/>
      <c r="P440" s="492"/>
      <c r="Q440" s="492"/>
      <c r="R440" s="492"/>
      <c r="S440" s="492"/>
      <c r="T440" s="492"/>
      <c r="U440" s="492"/>
      <c r="V440" s="492"/>
      <c r="W440" s="492"/>
      <c r="X440" s="453">
        <v>1500</v>
      </c>
      <c r="Y440" s="453">
        <v>1400</v>
      </c>
      <c r="Z440" s="453"/>
      <c r="AA440" s="453"/>
      <c r="AB440" s="453"/>
      <c r="AC440" s="452"/>
      <c r="AD440" s="452"/>
      <c r="AE440" s="452"/>
      <c r="AF440" s="452"/>
      <c r="AG440" s="452"/>
      <c r="AH440" s="452">
        <v>848.9</v>
      </c>
      <c r="AI440" s="452">
        <v>848.9</v>
      </c>
      <c r="AJ440" s="454"/>
      <c r="AK440" s="454">
        <f t="shared" si="61"/>
        <v>0</v>
      </c>
      <c r="AL440" s="454">
        <f t="shared" si="62"/>
        <v>14</v>
      </c>
      <c r="AM440" s="570">
        <v>2000</v>
      </c>
      <c r="AN440" s="566">
        <v>1386</v>
      </c>
      <c r="AO440" s="454"/>
      <c r="AP440" s="454"/>
      <c r="AQ440" s="566"/>
      <c r="AR440" s="566"/>
      <c r="AS440" s="566">
        <v>1500</v>
      </c>
      <c r="AT440" s="566">
        <v>1386</v>
      </c>
      <c r="AU440" s="495"/>
      <c r="AV440" s="495"/>
      <c r="AW440" s="10"/>
      <c r="AX440" s="119"/>
      <c r="BB440" s="479">
        <v>1</v>
      </c>
      <c r="BC440" s="119">
        <v>6</v>
      </c>
    </row>
    <row r="441" spans="1:55" ht="31.5" x14ac:dyDescent="0.25">
      <c r="A441" s="524">
        <v>14</v>
      </c>
      <c r="B441" s="569" t="s">
        <v>1453</v>
      </c>
      <c r="C441" s="450"/>
      <c r="D441" s="450"/>
      <c r="E441" s="450"/>
      <c r="F441" s="569"/>
      <c r="G441" s="452"/>
      <c r="H441" s="452"/>
      <c r="I441" s="492"/>
      <c r="J441" s="492"/>
      <c r="K441" s="492"/>
      <c r="L441" s="492"/>
      <c r="M441" s="492"/>
      <c r="N441" s="492"/>
      <c r="O441" s="492"/>
      <c r="P441" s="492"/>
      <c r="Q441" s="492"/>
      <c r="R441" s="492"/>
      <c r="S441" s="492"/>
      <c r="T441" s="492"/>
      <c r="U441" s="492"/>
      <c r="V441" s="492"/>
      <c r="W441" s="492"/>
      <c r="X441" s="453">
        <v>1500</v>
      </c>
      <c r="Y441" s="453">
        <v>1050</v>
      </c>
      <c r="Z441" s="453"/>
      <c r="AA441" s="453"/>
      <c r="AB441" s="453"/>
      <c r="AC441" s="452"/>
      <c r="AD441" s="452"/>
      <c r="AE441" s="452"/>
      <c r="AF441" s="452"/>
      <c r="AG441" s="452"/>
      <c r="AH441" s="452">
        <v>653</v>
      </c>
      <c r="AI441" s="452">
        <v>653</v>
      </c>
      <c r="AJ441" s="454"/>
      <c r="AK441" s="454">
        <f t="shared" si="61"/>
        <v>0</v>
      </c>
      <c r="AL441" s="454">
        <f t="shared" si="62"/>
        <v>28</v>
      </c>
      <c r="AM441" s="570">
        <v>1500</v>
      </c>
      <c r="AN441" s="566">
        <v>1022</v>
      </c>
      <c r="AO441" s="454"/>
      <c r="AP441" s="454"/>
      <c r="AQ441" s="566"/>
      <c r="AR441" s="566"/>
      <c r="AS441" s="566">
        <v>1500</v>
      </c>
      <c r="AT441" s="566">
        <v>1022</v>
      </c>
      <c r="AU441" s="495"/>
      <c r="AV441" s="495"/>
      <c r="AW441" s="10"/>
      <c r="AX441" s="119"/>
      <c r="BB441" s="479">
        <v>1</v>
      </c>
      <c r="BC441" s="119">
        <v>6</v>
      </c>
    </row>
    <row r="442" spans="1:55" ht="31.5" x14ac:dyDescent="0.25">
      <c r="A442" s="524">
        <v>15</v>
      </c>
      <c r="B442" s="569" t="s">
        <v>1454</v>
      </c>
      <c r="C442" s="450"/>
      <c r="D442" s="450"/>
      <c r="E442" s="450"/>
      <c r="F442" s="569"/>
      <c r="G442" s="452"/>
      <c r="H442" s="452"/>
      <c r="I442" s="492"/>
      <c r="J442" s="492"/>
      <c r="K442" s="492"/>
      <c r="L442" s="492"/>
      <c r="M442" s="492"/>
      <c r="N442" s="492"/>
      <c r="O442" s="492"/>
      <c r="P442" s="492"/>
      <c r="Q442" s="492"/>
      <c r="R442" s="492"/>
      <c r="S442" s="492"/>
      <c r="T442" s="492"/>
      <c r="U442" s="492"/>
      <c r="V442" s="492"/>
      <c r="W442" s="492"/>
      <c r="X442" s="453">
        <v>1200</v>
      </c>
      <c r="Y442" s="453">
        <v>840</v>
      </c>
      <c r="Z442" s="453"/>
      <c r="AA442" s="453"/>
      <c r="AB442" s="453"/>
      <c r="AC442" s="452"/>
      <c r="AD442" s="452"/>
      <c r="AE442" s="452"/>
      <c r="AF442" s="452"/>
      <c r="AG442" s="452"/>
      <c r="AH442" s="452">
        <v>645</v>
      </c>
      <c r="AI442" s="452">
        <v>645</v>
      </c>
      <c r="AJ442" s="454"/>
      <c r="AK442" s="454">
        <f t="shared" si="61"/>
        <v>0</v>
      </c>
      <c r="AL442" s="454">
        <f t="shared" si="62"/>
        <v>18</v>
      </c>
      <c r="AM442" s="570">
        <v>1200</v>
      </c>
      <c r="AN442" s="566">
        <v>822</v>
      </c>
      <c r="AO442" s="454"/>
      <c r="AP442" s="454"/>
      <c r="AQ442" s="566"/>
      <c r="AR442" s="566"/>
      <c r="AS442" s="566">
        <v>1200</v>
      </c>
      <c r="AT442" s="566">
        <v>822</v>
      </c>
      <c r="AU442" s="495"/>
      <c r="AV442" s="495"/>
      <c r="AW442" s="10"/>
      <c r="AX442" s="119"/>
      <c r="BB442" s="479">
        <v>1</v>
      </c>
      <c r="BC442" s="119">
        <v>2</v>
      </c>
    </row>
    <row r="443" spans="1:55" ht="31.5" x14ac:dyDescent="0.25">
      <c r="A443" s="524">
        <v>16</v>
      </c>
      <c r="B443" s="569" t="s">
        <v>1455</v>
      </c>
      <c r="C443" s="450"/>
      <c r="D443" s="450"/>
      <c r="E443" s="450"/>
      <c r="F443" s="569"/>
      <c r="G443" s="452"/>
      <c r="H443" s="452"/>
      <c r="I443" s="492"/>
      <c r="J443" s="492"/>
      <c r="K443" s="492"/>
      <c r="L443" s="492"/>
      <c r="M443" s="492"/>
      <c r="N443" s="492"/>
      <c r="O443" s="492"/>
      <c r="P443" s="492"/>
      <c r="Q443" s="492"/>
      <c r="R443" s="492"/>
      <c r="S443" s="492"/>
      <c r="T443" s="492"/>
      <c r="U443" s="492"/>
      <c r="V443" s="492"/>
      <c r="W443" s="492"/>
      <c r="X443" s="453">
        <v>1500</v>
      </c>
      <c r="Y443" s="453">
        <v>1275</v>
      </c>
      <c r="Z443" s="453"/>
      <c r="AA443" s="453"/>
      <c r="AB443" s="453"/>
      <c r="AC443" s="452"/>
      <c r="AD443" s="452"/>
      <c r="AE443" s="452"/>
      <c r="AF443" s="452"/>
      <c r="AG443" s="452"/>
      <c r="AH443" s="452">
        <v>655</v>
      </c>
      <c r="AI443" s="452">
        <v>655</v>
      </c>
      <c r="AJ443" s="454"/>
      <c r="AK443" s="454">
        <f t="shared" si="61"/>
        <v>0</v>
      </c>
      <c r="AL443" s="454">
        <f t="shared" si="62"/>
        <v>624</v>
      </c>
      <c r="AM443" s="570">
        <v>835</v>
      </c>
      <c r="AN443" s="566">
        <v>651</v>
      </c>
      <c r="AO443" s="454"/>
      <c r="AP443" s="454"/>
      <c r="AQ443" s="566"/>
      <c r="AR443" s="566"/>
      <c r="AS443" s="566">
        <v>835</v>
      </c>
      <c r="AT443" s="566">
        <v>650</v>
      </c>
      <c r="AU443" s="495"/>
      <c r="AV443" s="495"/>
      <c r="AW443" s="10"/>
      <c r="AX443" s="119"/>
      <c r="BB443" s="479">
        <v>1</v>
      </c>
      <c r="BC443" s="119">
        <v>2</v>
      </c>
    </row>
    <row r="444" spans="1:55" ht="31.5" x14ac:dyDescent="0.25">
      <c r="A444" s="524">
        <v>17</v>
      </c>
      <c r="B444" s="569" t="s">
        <v>1456</v>
      </c>
      <c r="C444" s="450"/>
      <c r="D444" s="450"/>
      <c r="E444" s="450"/>
      <c r="F444" s="569"/>
      <c r="G444" s="452"/>
      <c r="H444" s="452"/>
      <c r="I444" s="492"/>
      <c r="J444" s="492"/>
      <c r="K444" s="492"/>
      <c r="L444" s="492"/>
      <c r="M444" s="492"/>
      <c r="N444" s="492"/>
      <c r="O444" s="492"/>
      <c r="P444" s="492"/>
      <c r="Q444" s="492"/>
      <c r="R444" s="492"/>
      <c r="S444" s="492"/>
      <c r="T444" s="492"/>
      <c r="U444" s="492"/>
      <c r="V444" s="492"/>
      <c r="W444" s="492"/>
      <c r="X444" s="453">
        <v>500</v>
      </c>
      <c r="Y444" s="453">
        <v>450</v>
      </c>
      <c r="Z444" s="453"/>
      <c r="AA444" s="453"/>
      <c r="AB444" s="453"/>
      <c r="AC444" s="452"/>
      <c r="AD444" s="452"/>
      <c r="AE444" s="452"/>
      <c r="AF444" s="452"/>
      <c r="AG444" s="452"/>
      <c r="AH444" s="452">
        <v>450</v>
      </c>
      <c r="AI444" s="452">
        <v>450</v>
      </c>
      <c r="AJ444" s="454"/>
      <c r="AK444" s="454">
        <f t="shared" si="61"/>
        <v>0</v>
      </c>
      <c r="AL444" s="454">
        <f t="shared" si="62"/>
        <v>0</v>
      </c>
      <c r="AM444" s="570">
        <v>500</v>
      </c>
      <c r="AN444" s="566">
        <v>450</v>
      </c>
      <c r="AO444" s="454"/>
      <c r="AP444" s="454"/>
      <c r="AQ444" s="566"/>
      <c r="AR444" s="566"/>
      <c r="AS444" s="566">
        <v>500</v>
      </c>
      <c r="AT444" s="566">
        <v>450</v>
      </c>
      <c r="AU444" s="495"/>
      <c r="AV444" s="495"/>
      <c r="AW444" s="10"/>
      <c r="AX444" s="119"/>
      <c r="BB444" s="479">
        <v>1</v>
      </c>
      <c r="BC444" s="119">
        <v>6</v>
      </c>
    </row>
    <row r="445" spans="1:55" ht="31.5" x14ac:dyDescent="0.25">
      <c r="A445" s="524">
        <v>18</v>
      </c>
      <c r="B445" s="569" t="s">
        <v>1457</v>
      </c>
      <c r="C445" s="450"/>
      <c r="D445" s="450"/>
      <c r="E445" s="450"/>
      <c r="F445" s="569"/>
      <c r="G445" s="452"/>
      <c r="H445" s="452"/>
      <c r="I445" s="492"/>
      <c r="J445" s="492"/>
      <c r="K445" s="492"/>
      <c r="L445" s="492"/>
      <c r="M445" s="492"/>
      <c r="N445" s="492"/>
      <c r="O445" s="492"/>
      <c r="P445" s="492"/>
      <c r="Q445" s="492"/>
      <c r="R445" s="492"/>
      <c r="S445" s="492"/>
      <c r="T445" s="492"/>
      <c r="U445" s="492"/>
      <c r="V445" s="492"/>
      <c r="W445" s="492"/>
      <c r="X445" s="453">
        <v>500</v>
      </c>
      <c r="Y445" s="453">
        <v>450</v>
      </c>
      <c r="Z445" s="453"/>
      <c r="AA445" s="453"/>
      <c r="AB445" s="453"/>
      <c r="AC445" s="452"/>
      <c r="AD445" s="452"/>
      <c r="AE445" s="452"/>
      <c r="AF445" s="452"/>
      <c r="AG445" s="452"/>
      <c r="AH445" s="452">
        <v>450</v>
      </c>
      <c r="AI445" s="452">
        <v>450</v>
      </c>
      <c r="AJ445" s="454"/>
      <c r="AK445" s="454">
        <f t="shared" si="61"/>
        <v>0</v>
      </c>
      <c r="AL445" s="454">
        <f t="shared" si="62"/>
        <v>0</v>
      </c>
      <c r="AM445" s="570">
        <v>500</v>
      </c>
      <c r="AN445" s="566">
        <v>450</v>
      </c>
      <c r="AO445" s="454"/>
      <c r="AP445" s="454"/>
      <c r="AQ445" s="566"/>
      <c r="AR445" s="566"/>
      <c r="AS445" s="566">
        <v>500</v>
      </c>
      <c r="AT445" s="566">
        <v>450</v>
      </c>
      <c r="AU445" s="495"/>
      <c r="AV445" s="495"/>
      <c r="AW445" s="10"/>
      <c r="AX445" s="119"/>
      <c r="BB445" s="479">
        <v>1</v>
      </c>
      <c r="BC445" s="119">
        <v>6</v>
      </c>
    </row>
    <row r="446" spans="1:55" ht="31.5" x14ac:dyDescent="0.25">
      <c r="A446" s="524">
        <v>19</v>
      </c>
      <c r="B446" s="569" t="s">
        <v>1458</v>
      </c>
      <c r="C446" s="450"/>
      <c r="D446" s="450"/>
      <c r="E446" s="450"/>
      <c r="F446" s="569"/>
      <c r="G446" s="452"/>
      <c r="H446" s="452"/>
      <c r="I446" s="492"/>
      <c r="J446" s="492"/>
      <c r="K446" s="492"/>
      <c r="L446" s="492"/>
      <c r="M446" s="492"/>
      <c r="N446" s="492"/>
      <c r="O446" s="492"/>
      <c r="P446" s="492"/>
      <c r="Q446" s="492"/>
      <c r="R446" s="492"/>
      <c r="S446" s="492"/>
      <c r="T446" s="492"/>
      <c r="U446" s="492"/>
      <c r="V446" s="492"/>
      <c r="W446" s="492"/>
      <c r="X446" s="453">
        <v>500</v>
      </c>
      <c r="Y446" s="453">
        <v>450</v>
      </c>
      <c r="Z446" s="453"/>
      <c r="AA446" s="453"/>
      <c r="AB446" s="453"/>
      <c r="AC446" s="452"/>
      <c r="AD446" s="452"/>
      <c r="AE446" s="452"/>
      <c r="AF446" s="452"/>
      <c r="AG446" s="452"/>
      <c r="AH446" s="452">
        <v>450</v>
      </c>
      <c r="AI446" s="452">
        <v>450</v>
      </c>
      <c r="AJ446" s="454"/>
      <c r="AK446" s="454">
        <f t="shared" si="61"/>
        <v>0</v>
      </c>
      <c r="AL446" s="454">
        <f t="shared" si="62"/>
        <v>0</v>
      </c>
      <c r="AM446" s="570">
        <v>500</v>
      </c>
      <c r="AN446" s="566">
        <v>450</v>
      </c>
      <c r="AO446" s="454"/>
      <c r="AP446" s="454"/>
      <c r="AQ446" s="566"/>
      <c r="AR446" s="566"/>
      <c r="AS446" s="566">
        <v>500</v>
      </c>
      <c r="AT446" s="566">
        <v>450</v>
      </c>
      <c r="AU446" s="495"/>
      <c r="AV446" s="495"/>
      <c r="AW446" s="10"/>
      <c r="AX446" s="119"/>
      <c r="BB446" s="479">
        <v>1</v>
      </c>
      <c r="BC446" s="119">
        <v>1</v>
      </c>
    </row>
    <row r="447" spans="1:55" ht="31.5" x14ac:dyDescent="0.25">
      <c r="A447" s="524">
        <v>20</v>
      </c>
      <c r="B447" s="567" t="s">
        <v>1459</v>
      </c>
      <c r="C447" s="450"/>
      <c r="D447" s="450"/>
      <c r="E447" s="450"/>
      <c r="F447" s="567"/>
      <c r="G447" s="452"/>
      <c r="H447" s="452"/>
      <c r="I447" s="492"/>
      <c r="J447" s="492"/>
      <c r="K447" s="492"/>
      <c r="L447" s="492"/>
      <c r="M447" s="492"/>
      <c r="N447" s="492"/>
      <c r="O447" s="492"/>
      <c r="P447" s="492"/>
      <c r="Q447" s="492"/>
      <c r="R447" s="492"/>
      <c r="S447" s="492"/>
      <c r="T447" s="492"/>
      <c r="U447" s="492"/>
      <c r="V447" s="492"/>
      <c r="W447" s="492"/>
      <c r="X447" s="453">
        <v>1500</v>
      </c>
      <c r="Y447" s="453">
        <v>1350</v>
      </c>
      <c r="Z447" s="453"/>
      <c r="AA447" s="453"/>
      <c r="AB447" s="453"/>
      <c r="AC447" s="452"/>
      <c r="AD447" s="452"/>
      <c r="AE447" s="452"/>
      <c r="AF447" s="452"/>
      <c r="AG447" s="452"/>
      <c r="AH447" s="452"/>
      <c r="AI447" s="452"/>
      <c r="AJ447" s="454"/>
      <c r="AK447" s="454">
        <f t="shared" si="61"/>
        <v>0</v>
      </c>
      <c r="AL447" s="454">
        <f t="shared" si="62"/>
        <v>160</v>
      </c>
      <c r="AM447" s="570">
        <v>1350</v>
      </c>
      <c r="AN447" s="566">
        <v>1190</v>
      </c>
      <c r="AO447" s="454"/>
      <c r="AP447" s="454"/>
      <c r="AQ447" s="566"/>
      <c r="AR447" s="566"/>
      <c r="AS447" s="566">
        <v>1350</v>
      </c>
      <c r="AT447" s="566">
        <v>1190</v>
      </c>
      <c r="AU447" s="495"/>
      <c r="AV447" s="495"/>
      <c r="AW447" s="10"/>
      <c r="AX447" s="119"/>
      <c r="BB447" s="479">
        <v>1</v>
      </c>
      <c r="BC447" s="119">
        <v>6</v>
      </c>
    </row>
    <row r="448" spans="1:55" ht="31.5" x14ac:dyDescent="0.25">
      <c r="A448" s="524">
        <v>21</v>
      </c>
      <c r="B448" s="567" t="s">
        <v>1460</v>
      </c>
      <c r="C448" s="450"/>
      <c r="D448" s="450"/>
      <c r="E448" s="450"/>
      <c r="F448" s="571"/>
      <c r="G448" s="452"/>
      <c r="H448" s="452"/>
      <c r="I448" s="492"/>
      <c r="J448" s="492"/>
      <c r="K448" s="492"/>
      <c r="L448" s="492"/>
      <c r="M448" s="492"/>
      <c r="N448" s="492"/>
      <c r="O448" s="492"/>
      <c r="P448" s="492"/>
      <c r="Q448" s="492"/>
      <c r="R448" s="492"/>
      <c r="S448" s="492"/>
      <c r="T448" s="492"/>
      <c r="U448" s="492"/>
      <c r="V448" s="492"/>
      <c r="W448" s="492"/>
      <c r="X448" s="453">
        <v>2000</v>
      </c>
      <c r="Y448" s="453">
        <v>1800</v>
      </c>
      <c r="Z448" s="453"/>
      <c r="AA448" s="453"/>
      <c r="AB448" s="453"/>
      <c r="AC448" s="452"/>
      <c r="AD448" s="452"/>
      <c r="AE448" s="452"/>
      <c r="AF448" s="452"/>
      <c r="AG448" s="452"/>
      <c r="AH448" s="452"/>
      <c r="AI448" s="452"/>
      <c r="AJ448" s="454"/>
      <c r="AK448" s="454">
        <f t="shared" si="61"/>
        <v>0</v>
      </c>
      <c r="AL448" s="454">
        <f t="shared" si="62"/>
        <v>977</v>
      </c>
      <c r="AM448" s="570">
        <v>950</v>
      </c>
      <c r="AN448" s="566">
        <v>823</v>
      </c>
      <c r="AO448" s="454"/>
      <c r="AP448" s="454"/>
      <c r="AQ448" s="452"/>
      <c r="AR448" s="452"/>
      <c r="AS448" s="566">
        <v>950</v>
      </c>
      <c r="AT448" s="566">
        <v>823</v>
      </c>
      <c r="AU448" s="495"/>
      <c r="AV448" s="495"/>
      <c r="AW448" s="10"/>
      <c r="AX448" s="119"/>
      <c r="BB448" s="479">
        <v>1</v>
      </c>
      <c r="BC448" s="119">
        <v>6</v>
      </c>
    </row>
    <row r="449" spans="1:55" ht="31.5" x14ac:dyDescent="0.25">
      <c r="A449" s="524">
        <v>22</v>
      </c>
      <c r="B449" s="567" t="s">
        <v>1461</v>
      </c>
      <c r="C449" s="450"/>
      <c r="D449" s="450"/>
      <c r="E449" s="450"/>
      <c r="F449" s="567"/>
      <c r="G449" s="452"/>
      <c r="H449" s="452"/>
      <c r="I449" s="492"/>
      <c r="J449" s="492"/>
      <c r="K449" s="492"/>
      <c r="L449" s="492"/>
      <c r="M449" s="492"/>
      <c r="N449" s="492"/>
      <c r="O449" s="492"/>
      <c r="P449" s="492"/>
      <c r="Q449" s="492"/>
      <c r="R449" s="492"/>
      <c r="S449" s="492"/>
      <c r="T449" s="492"/>
      <c r="U449" s="492"/>
      <c r="V449" s="492"/>
      <c r="W449" s="492"/>
      <c r="X449" s="453">
        <v>2000</v>
      </c>
      <c r="Y449" s="453">
        <v>1800</v>
      </c>
      <c r="Z449" s="453"/>
      <c r="AA449" s="453"/>
      <c r="AB449" s="453"/>
      <c r="AC449" s="452"/>
      <c r="AD449" s="452"/>
      <c r="AE449" s="452"/>
      <c r="AF449" s="452"/>
      <c r="AG449" s="452"/>
      <c r="AH449" s="452"/>
      <c r="AI449" s="452"/>
      <c r="AJ449" s="454"/>
      <c r="AK449" s="454">
        <f t="shared" si="61"/>
        <v>0</v>
      </c>
      <c r="AL449" s="454">
        <f t="shared" si="62"/>
        <v>728</v>
      </c>
      <c r="AM449" s="570">
        <v>1200</v>
      </c>
      <c r="AN449" s="566">
        <v>1072</v>
      </c>
      <c r="AO449" s="454"/>
      <c r="AP449" s="454"/>
      <c r="AQ449" s="452"/>
      <c r="AR449" s="452"/>
      <c r="AS449" s="566">
        <v>1200</v>
      </c>
      <c r="AT449" s="566">
        <v>1072</v>
      </c>
      <c r="AU449" s="495"/>
      <c r="AV449" s="495"/>
      <c r="AW449" s="10"/>
      <c r="AX449" s="119"/>
      <c r="BB449" s="479">
        <v>1</v>
      </c>
      <c r="BC449" s="119">
        <v>6</v>
      </c>
    </row>
    <row r="450" spans="1:55" ht="28.5" customHeight="1" x14ac:dyDescent="0.25">
      <c r="A450" s="524">
        <v>23</v>
      </c>
      <c r="B450" s="572" t="s">
        <v>1462</v>
      </c>
      <c r="C450" s="450"/>
      <c r="D450" s="450"/>
      <c r="E450" s="450"/>
      <c r="F450" s="571"/>
      <c r="G450" s="452"/>
      <c r="H450" s="452"/>
      <c r="I450" s="492"/>
      <c r="J450" s="492"/>
      <c r="K450" s="492"/>
      <c r="L450" s="492"/>
      <c r="M450" s="492"/>
      <c r="N450" s="492"/>
      <c r="O450" s="492"/>
      <c r="P450" s="492"/>
      <c r="Q450" s="492"/>
      <c r="R450" s="492"/>
      <c r="S450" s="492"/>
      <c r="T450" s="492"/>
      <c r="U450" s="492"/>
      <c r="V450" s="492"/>
      <c r="W450" s="492"/>
      <c r="X450" s="453">
        <v>1200</v>
      </c>
      <c r="Y450" s="453">
        <v>1080</v>
      </c>
      <c r="Z450" s="453"/>
      <c r="AA450" s="453"/>
      <c r="AB450" s="453"/>
      <c r="AC450" s="452"/>
      <c r="AD450" s="452"/>
      <c r="AE450" s="452"/>
      <c r="AF450" s="452"/>
      <c r="AG450" s="452"/>
      <c r="AH450" s="452"/>
      <c r="AI450" s="452"/>
      <c r="AJ450" s="454"/>
      <c r="AK450" s="454">
        <f t="shared" si="61"/>
        <v>553</v>
      </c>
      <c r="AL450" s="454">
        <f t="shared" si="62"/>
        <v>0</v>
      </c>
      <c r="AM450" s="570">
        <v>1633</v>
      </c>
      <c r="AN450" s="566">
        <v>1349</v>
      </c>
      <c r="AO450" s="454"/>
      <c r="AP450" s="454"/>
      <c r="AQ450" s="452"/>
      <c r="AR450" s="452"/>
      <c r="AS450" s="566">
        <v>1633</v>
      </c>
      <c r="AT450" s="566">
        <v>1349</v>
      </c>
      <c r="AU450" s="495"/>
      <c r="AV450" s="495"/>
      <c r="AW450" s="10"/>
      <c r="AX450" s="119"/>
      <c r="BB450" s="479">
        <v>1</v>
      </c>
      <c r="BC450" s="119">
        <v>6</v>
      </c>
    </row>
    <row r="451" spans="1:55" ht="31.5" x14ac:dyDescent="0.25">
      <c r="A451" s="524">
        <v>24</v>
      </c>
      <c r="B451" s="564" t="s">
        <v>1463</v>
      </c>
      <c r="C451" s="450"/>
      <c r="D451" s="450"/>
      <c r="E451" s="450"/>
      <c r="F451" s="567"/>
      <c r="G451" s="452"/>
      <c r="H451" s="452"/>
      <c r="I451" s="492"/>
      <c r="J451" s="492"/>
      <c r="K451" s="492"/>
      <c r="L451" s="492"/>
      <c r="M451" s="492"/>
      <c r="N451" s="492"/>
      <c r="O451" s="492"/>
      <c r="P451" s="492"/>
      <c r="Q451" s="492"/>
      <c r="R451" s="492"/>
      <c r="S451" s="492"/>
      <c r="T451" s="492"/>
      <c r="U451" s="492"/>
      <c r="V451" s="492"/>
      <c r="W451" s="492"/>
      <c r="X451" s="453">
        <v>1200</v>
      </c>
      <c r="Y451" s="453">
        <v>1080</v>
      </c>
      <c r="Z451" s="453"/>
      <c r="AA451" s="453"/>
      <c r="AB451" s="453"/>
      <c r="AC451" s="452"/>
      <c r="AD451" s="452"/>
      <c r="AE451" s="452"/>
      <c r="AF451" s="452"/>
      <c r="AG451" s="452"/>
      <c r="AH451" s="452"/>
      <c r="AI451" s="452"/>
      <c r="AJ451" s="454"/>
      <c r="AK451" s="454">
        <f t="shared" si="61"/>
        <v>0</v>
      </c>
      <c r="AL451" s="454">
        <f t="shared" si="62"/>
        <v>11</v>
      </c>
      <c r="AM451" s="570">
        <v>1200</v>
      </c>
      <c r="AN451" s="566">
        <v>1069</v>
      </c>
      <c r="AO451" s="454"/>
      <c r="AP451" s="454"/>
      <c r="AQ451" s="452"/>
      <c r="AR451" s="452"/>
      <c r="AS451" s="566">
        <v>1200</v>
      </c>
      <c r="AT451" s="566">
        <v>1069</v>
      </c>
      <c r="AU451" s="495"/>
      <c r="AV451" s="495"/>
      <c r="AW451" s="10"/>
      <c r="AX451" s="119"/>
      <c r="BB451" s="479">
        <v>1</v>
      </c>
      <c r="BC451" s="119">
        <v>6</v>
      </c>
    </row>
    <row r="452" spans="1:55" ht="31.5" x14ac:dyDescent="0.25">
      <c r="A452" s="524">
        <v>25</v>
      </c>
      <c r="B452" s="564" t="s">
        <v>1464</v>
      </c>
      <c r="C452" s="450"/>
      <c r="D452" s="450"/>
      <c r="E452" s="450"/>
      <c r="F452" s="572"/>
      <c r="G452" s="452"/>
      <c r="H452" s="452"/>
      <c r="I452" s="492"/>
      <c r="J452" s="492"/>
      <c r="K452" s="492"/>
      <c r="L452" s="492"/>
      <c r="M452" s="492"/>
      <c r="N452" s="492"/>
      <c r="O452" s="492"/>
      <c r="P452" s="492"/>
      <c r="Q452" s="492"/>
      <c r="R452" s="492"/>
      <c r="S452" s="492"/>
      <c r="T452" s="492"/>
      <c r="U452" s="492"/>
      <c r="V452" s="492"/>
      <c r="W452" s="492"/>
      <c r="X452" s="453">
        <v>1500</v>
      </c>
      <c r="Y452" s="453">
        <v>1350</v>
      </c>
      <c r="Z452" s="453"/>
      <c r="AA452" s="453"/>
      <c r="AB452" s="453"/>
      <c r="AC452" s="452"/>
      <c r="AD452" s="452"/>
      <c r="AE452" s="452"/>
      <c r="AF452" s="452"/>
      <c r="AG452" s="452"/>
      <c r="AH452" s="452"/>
      <c r="AI452" s="452"/>
      <c r="AJ452" s="454"/>
      <c r="AK452" s="454">
        <f t="shared" si="61"/>
        <v>0</v>
      </c>
      <c r="AL452" s="454">
        <f t="shared" si="62"/>
        <v>30</v>
      </c>
      <c r="AM452" s="570">
        <v>1500</v>
      </c>
      <c r="AN452" s="566">
        <v>1320</v>
      </c>
      <c r="AO452" s="454"/>
      <c r="AP452" s="454"/>
      <c r="AQ452" s="452"/>
      <c r="AR452" s="452"/>
      <c r="AS452" s="566">
        <v>1500</v>
      </c>
      <c r="AT452" s="566">
        <v>1320</v>
      </c>
      <c r="AU452" s="495"/>
      <c r="AV452" s="495"/>
      <c r="AW452" s="10"/>
      <c r="AX452" s="119"/>
      <c r="BB452" s="479">
        <v>1</v>
      </c>
      <c r="BC452" s="119">
        <v>6</v>
      </c>
    </row>
    <row r="453" spans="1:55" ht="31.5" x14ac:dyDescent="0.25">
      <c r="A453" s="524">
        <v>26</v>
      </c>
      <c r="B453" s="564" t="s">
        <v>1465</v>
      </c>
      <c r="C453" s="450"/>
      <c r="D453" s="450"/>
      <c r="E453" s="450"/>
      <c r="F453" s="564"/>
      <c r="G453" s="452"/>
      <c r="H453" s="452"/>
      <c r="I453" s="492"/>
      <c r="J453" s="492"/>
      <c r="K453" s="492"/>
      <c r="L453" s="492"/>
      <c r="M453" s="492"/>
      <c r="N453" s="492"/>
      <c r="O453" s="492"/>
      <c r="P453" s="492"/>
      <c r="Q453" s="492"/>
      <c r="R453" s="492"/>
      <c r="S453" s="492"/>
      <c r="T453" s="492"/>
      <c r="U453" s="492"/>
      <c r="V453" s="492"/>
      <c r="W453" s="492"/>
      <c r="X453" s="453">
        <v>1200</v>
      </c>
      <c r="Y453" s="453">
        <v>1080</v>
      </c>
      <c r="Z453" s="453"/>
      <c r="AA453" s="453"/>
      <c r="AB453" s="453"/>
      <c r="AC453" s="452"/>
      <c r="AD453" s="452"/>
      <c r="AE453" s="452"/>
      <c r="AF453" s="452"/>
      <c r="AG453" s="452"/>
      <c r="AH453" s="452"/>
      <c r="AI453" s="452"/>
      <c r="AJ453" s="454"/>
      <c r="AK453" s="454">
        <f t="shared" si="61"/>
        <v>620</v>
      </c>
      <c r="AL453" s="454">
        <f t="shared" si="62"/>
        <v>0</v>
      </c>
      <c r="AM453" s="570">
        <v>1700</v>
      </c>
      <c r="AN453" s="566">
        <v>1490</v>
      </c>
      <c r="AO453" s="454"/>
      <c r="AP453" s="454"/>
      <c r="AQ453" s="452"/>
      <c r="AR453" s="452"/>
      <c r="AS453" s="566">
        <v>1700</v>
      </c>
      <c r="AT453" s="566">
        <v>1490</v>
      </c>
      <c r="AU453" s="495"/>
      <c r="AV453" s="495"/>
      <c r="AW453" s="10"/>
      <c r="AX453" s="119"/>
      <c r="BB453" s="479">
        <v>1</v>
      </c>
      <c r="BC453" s="119">
        <v>6</v>
      </c>
    </row>
    <row r="454" spans="1:55" ht="31.5" x14ac:dyDescent="0.25">
      <c r="A454" s="524">
        <v>27</v>
      </c>
      <c r="B454" s="564" t="s">
        <v>1466</v>
      </c>
      <c r="C454" s="450"/>
      <c r="D454" s="450"/>
      <c r="E454" s="450"/>
      <c r="F454" s="564"/>
      <c r="G454" s="452"/>
      <c r="H454" s="452"/>
      <c r="I454" s="492"/>
      <c r="J454" s="492"/>
      <c r="K454" s="492"/>
      <c r="L454" s="492"/>
      <c r="M454" s="492"/>
      <c r="N454" s="492"/>
      <c r="O454" s="492"/>
      <c r="P454" s="492"/>
      <c r="Q454" s="492"/>
      <c r="R454" s="492"/>
      <c r="S454" s="492"/>
      <c r="T454" s="492"/>
      <c r="U454" s="492"/>
      <c r="V454" s="492"/>
      <c r="W454" s="492"/>
      <c r="X454" s="453">
        <v>1200</v>
      </c>
      <c r="Y454" s="453">
        <v>1080</v>
      </c>
      <c r="Z454" s="453"/>
      <c r="AA454" s="453"/>
      <c r="AB454" s="453"/>
      <c r="AC454" s="452"/>
      <c r="AD454" s="452"/>
      <c r="AE454" s="452"/>
      <c r="AF454" s="452"/>
      <c r="AG454" s="452"/>
      <c r="AH454" s="452"/>
      <c r="AI454" s="452"/>
      <c r="AJ454" s="454"/>
      <c r="AK454" s="454">
        <f t="shared" si="61"/>
        <v>520</v>
      </c>
      <c r="AL454" s="454">
        <f t="shared" si="62"/>
        <v>0</v>
      </c>
      <c r="AM454" s="570">
        <v>1600</v>
      </c>
      <c r="AN454" s="566">
        <v>1439</v>
      </c>
      <c r="AO454" s="454"/>
      <c r="AP454" s="454"/>
      <c r="AQ454" s="452"/>
      <c r="AR454" s="452"/>
      <c r="AS454" s="566">
        <v>1600</v>
      </c>
      <c r="AT454" s="566">
        <v>1439</v>
      </c>
      <c r="AU454" s="495"/>
      <c r="AV454" s="495"/>
      <c r="AW454" s="10"/>
      <c r="AX454" s="119"/>
      <c r="BB454" s="479">
        <v>1</v>
      </c>
      <c r="BC454" s="119">
        <v>6</v>
      </c>
    </row>
    <row r="455" spans="1:55" ht="31.5" x14ac:dyDescent="0.25">
      <c r="A455" s="524">
        <v>28</v>
      </c>
      <c r="B455" s="569" t="s">
        <v>1467</v>
      </c>
      <c r="C455" s="450"/>
      <c r="D455" s="450"/>
      <c r="E455" s="450"/>
      <c r="F455" s="564"/>
      <c r="G455" s="452"/>
      <c r="H455" s="452"/>
      <c r="I455" s="492"/>
      <c r="J455" s="492"/>
      <c r="K455" s="492"/>
      <c r="L455" s="492"/>
      <c r="M455" s="492"/>
      <c r="N455" s="492"/>
      <c r="O455" s="492"/>
      <c r="P455" s="492"/>
      <c r="Q455" s="492"/>
      <c r="R455" s="492"/>
      <c r="S455" s="492"/>
      <c r="T455" s="492"/>
      <c r="U455" s="492"/>
      <c r="V455" s="492"/>
      <c r="W455" s="492"/>
      <c r="X455" s="453">
        <v>900</v>
      </c>
      <c r="Y455" s="453">
        <v>810</v>
      </c>
      <c r="Z455" s="453"/>
      <c r="AA455" s="453"/>
      <c r="AB455" s="453"/>
      <c r="AC455" s="452"/>
      <c r="AD455" s="452"/>
      <c r="AE455" s="452"/>
      <c r="AF455" s="452"/>
      <c r="AG455" s="452"/>
      <c r="AH455" s="452"/>
      <c r="AI455" s="452"/>
      <c r="AJ455" s="454"/>
      <c r="AK455" s="454">
        <f t="shared" si="61"/>
        <v>690</v>
      </c>
      <c r="AL455" s="454">
        <f t="shared" si="62"/>
        <v>0</v>
      </c>
      <c r="AM455" s="570">
        <v>1500</v>
      </c>
      <c r="AN455" s="566">
        <v>1320</v>
      </c>
      <c r="AO455" s="454"/>
      <c r="AP455" s="454"/>
      <c r="AQ455" s="452"/>
      <c r="AR455" s="452"/>
      <c r="AS455" s="566">
        <v>1500</v>
      </c>
      <c r="AT455" s="566">
        <v>1320</v>
      </c>
      <c r="AU455" s="495"/>
      <c r="AV455" s="495"/>
      <c r="AW455" s="10"/>
      <c r="AX455" s="119"/>
      <c r="BB455" s="479">
        <v>1</v>
      </c>
      <c r="BC455" s="119">
        <v>6</v>
      </c>
    </row>
    <row r="456" spans="1:55" x14ac:dyDescent="0.25">
      <c r="A456" s="524">
        <v>29</v>
      </c>
      <c r="B456" s="569" t="s">
        <v>1468</v>
      </c>
      <c r="C456" s="450"/>
      <c r="D456" s="450"/>
      <c r="E456" s="450"/>
      <c r="F456" s="564"/>
      <c r="G456" s="452"/>
      <c r="H456" s="452"/>
      <c r="I456" s="492"/>
      <c r="J456" s="492"/>
      <c r="K456" s="492"/>
      <c r="L456" s="492"/>
      <c r="M456" s="492"/>
      <c r="N456" s="492"/>
      <c r="O456" s="492"/>
      <c r="P456" s="492"/>
      <c r="Q456" s="492"/>
      <c r="R456" s="492"/>
      <c r="S456" s="492"/>
      <c r="T456" s="492"/>
      <c r="U456" s="492"/>
      <c r="V456" s="492"/>
      <c r="W456" s="492"/>
      <c r="X456" s="453">
        <v>1200</v>
      </c>
      <c r="Y456" s="453">
        <v>1080</v>
      </c>
      <c r="Z456" s="453"/>
      <c r="AA456" s="453"/>
      <c r="AB456" s="453"/>
      <c r="AC456" s="452"/>
      <c r="AD456" s="452"/>
      <c r="AE456" s="452"/>
      <c r="AF456" s="452"/>
      <c r="AG456" s="452"/>
      <c r="AH456" s="452"/>
      <c r="AI456" s="452"/>
      <c r="AJ456" s="454"/>
      <c r="AK456" s="454">
        <f t="shared" si="61"/>
        <v>420</v>
      </c>
      <c r="AL456" s="454">
        <f t="shared" si="62"/>
        <v>0</v>
      </c>
      <c r="AM456" s="570">
        <v>1500</v>
      </c>
      <c r="AN456" s="566">
        <v>1335</v>
      </c>
      <c r="AO456" s="454"/>
      <c r="AP456" s="454"/>
      <c r="AQ456" s="452"/>
      <c r="AR456" s="452"/>
      <c r="AS456" s="566">
        <v>1500</v>
      </c>
      <c r="AT456" s="566">
        <v>1335</v>
      </c>
      <c r="AU456" s="495"/>
      <c r="AV456" s="495"/>
      <c r="AW456" s="10"/>
      <c r="AX456" s="119"/>
      <c r="BB456" s="479">
        <v>1</v>
      </c>
      <c r="BC456" s="119">
        <v>6</v>
      </c>
    </row>
    <row r="457" spans="1:55" ht="31.5" x14ac:dyDescent="0.25">
      <c r="A457" s="524">
        <v>30</v>
      </c>
      <c r="B457" s="569" t="s">
        <v>1469</v>
      </c>
      <c r="C457" s="450"/>
      <c r="D457" s="450"/>
      <c r="E457" s="450"/>
      <c r="F457" s="569"/>
      <c r="G457" s="452"/>
      <c r="H457" s="452"/>
      <c r="I457" s="492"/>
      <c r="J457" s="492"/>
      <c r="K457" s="492"/>
      <c r="L457" s="492"/>
      <c r="M457" s="492"/>
      <c r="N457" s="492"/>
      <c r="O457" s="492"/>
      <c r="P457" s="492"/>
      <c r="Q457" s="492"/>
      <c r="R457" s="492"/>
      <c r="S457" s="492"/>
      <c r="T457" s="492"/>
      <c r="U457" s="492"/>
      <c r="V457" s="492"/>
      <c r="W457" s="492"/>
      <c r="X457" s="453">
        <v>1500</v>
      </c>
      <c r="Y457" s="453">
        <v>1350</v>
      </c>
      <c r="Z457" s="453"/>
      <c r="AA457" s="453"/>
      <c r="AB457" s="453"/>
      <c r="AC457" s="452"/>
      <c r="AD457" s="452"/>
      <c r="AE457" s="452"/>
      <c r="AF457" s="452"/>
      <c r="AG457" s="452"/>
      <c r="AH457" s="452"/>
      <c r="AI457" s="452"/>
      <c r="AJ457" s="454"/>
      <c r="AK457" s="454">
        <f t="shared" si="61"/>
        <v>0</v>
      </c>
      <c r="AL457" s="454">
        <f t="shared" si="62"/>
        <v>271</v>
      </c>
      <c r="AM457" s="570">
        <v>1200</v>
      </c>
      <c r="AN457" s="566">
        <v>1079</v>
      </c>
      <c r="AO457" s="454"/>
      <c r="AP457" s="454"/>
      <c r="AQ457" s="452"/>
      <c r="AR457" s="452"/>
      <c r="AS457" s="566">
        <v>1200</v>
      </c>
      <c r="AT457" s="566">
        <v>1079</v>
      </c>
      <c r="AU457" s="495"/>
      <c r="AV457" s="495"/>
      <c r="AW457" s="10"/>
      <c r="AX457" s="119"/>
      <c r="BB457" s="479">
        <v>1</v>
      </c>
      <c r="BC457" s="119">
        <v>6</v>
      </c>
    </row>
    <row r="458" spans="1:55" ht="31.5" x14ac:dyDescent="0.25">
      <c r="A458" s="524">
        <v>31</v>
      </c>
      <c r="B458" s="569" t="s">
        <v>1470</v>
      </c>
      <c r="C458" s="450"/>
      <c r="D458" s="450"/>
      <c r="E458" s="450"/>
      <c r="F458" s="569"/>
      <c r="G458" s="452"/>
      <c r="H458" s="452"/>
      <c r="I458" s="492"/>
      <c r="J458" s="492"/>
      <c r="K458" s="492"/>
      <c r="L458" s="492"/>
      <c r="M458" s="492"/>
      <c r="N458" s="492"/>
      <c r="O458" s="492"/>
      <c r="P458" s="492"/>
      <c r="Q458" s="492"/>
      <c r="R458" s="492"/>
      <c r="S458" s="492"/>
      <c r="T458" s="492"/>
      <c r="U458" s="492"/>
      <c r="V458" s="492"/>
      <c r="W458" s="492"/>
      <c r="X458" s="453">
        <v>1200</v>
      </c>
      <c r="Y458" s="453">
        <v>1080</v>
      </c>
      <c r="Z458" s="453"/>
      <c r="AA458" s="453"/>
      <c r="AB458" s="453"/>
      <c r="AC458" s="452"/>
      <c r="AD458" s="452"/>
      <c r="AE458" s="452"/>
      <c r="AF458" s="452"/>
      <c r="AG458" s="452"/>
      <c r="AH458" s="452"/>
      <c r="AI458" s="452"/>
      <c r="AJ458" s="454"/>
      <c r="AK458" s="454">
        <f t="shared" si="61"/>
        <v>0</v>
      </c>
      <c r="AL458" s="454">
        <f t="shared" si="62"/>
        <v>1</v>
      </c>
      <c r="AM458" s="570">
        <v>1200</v>
      </c>
      <c r="AN458" s="566">
        <v>1079</v>
      </c>
      <c r="AO458" s="454"/>
      <c r="AP458" s="454"/>
      <c r="AQ458" s="452"/>
      <c r="AR458" s="452"/>
      <c r="AS458" s="566">
        <v>1200</v>
      </c>
      <c r="AT458" s="566">
        <v>1079</v>
      </c>
      <c r="AU458" s="495"/>
      <c r="AV458" s="495"/>
      <c r="AW458" s="10"/>
      <c r="AX458" s="119"/>
      <c r="BB458" s="479">
        <v>1</v>
      </c>
      <c r="BC458" s="119">
        <v>6</v>
      </c>
    </row>
    <row r="459" spans="1:55" ht="31.5" x14ac:dyDescent="0.25">
      <c r="A459" s="524">
        <v>32</v>
      </c>
      <c r="B459" s="567" t="s">
        <v>1471</v>
      </c>
      <c r="C459" s="450"/>
      <c r="D459" s="450"/>
      <c r="E459" s="450"/>
      <c r="F459" s="569"/>
      <c r="G459" s="452"/>
      <c r="H459" s="452"/>
      <c r="I459" s="492"/>
      <c r="J459" s="492"/>
      <c r="K459" s="492"/>
      <c r="L459" s="492"/>
      <c r="M459" s="492"/>
      <c r="N459" s="492"/>
      <c r="O459" s="492"/>
      <c r="P459" s="492"/>
      <c r="Q459" s="492"/>
      <c r="R459" s="492"/>
      <c r="S459" s="492"/>
      <c r="T459" s="492"/>
      <c r="U459" s="492"/>
      <c r="V459" s="492"/>
      <c r="W459" s="492"/>
      <c r="X459" s="453">
        <v>2500</v>
      </c>
      <c r="Y459" s="453">
        <v>2250</v>
      </c>
      <c r="Z459" s="453"/>
      <c r="AA459" s="453"/>
      <c r="AB459" s="453"/>
      <c r="AC459" s="452"/>
      <c r="AD459" s="452"/>
      <c r="AE459" s="452"/>
      <c r="AF459" s="452"/>
      <c r="AG459" s="452"/>
      <c r="AH459" s="452"/>
      <c r="AI459" s="452"/>
      <c r="AJ459" s="454"/>
      <c r="AK459" s="454">
        <f t="shared" si="61"/>
        <v>0</v>
      </c>
      <c r="AL459" s="454">
        <f t="shared" si="62"/>
        <v>985</v>
      </c>
      <c r="AM459" s="570">
        <v>1500</v>
      </c>
      <c r="AN459" s="566">
        <v>1265</v>
      </c>
      <c r="AO459" s="454"/>
      <c r="AP459" s="454"/>
      <c r="AQ459" s="452"/>
      <c r="AR459" s="452"/>
      <c r="AS459" s="566">
        <v>1500</v>
      </c>
      <c r="AT459" s="566">
        <v>1265</v>
      </c>
      <c r="AU459" s="495"/>
      <c r="AV459" s="495"/>
      <c r="AW459" s="10"/>
      <c r="AX459" s="119"/>
      <c r="BB459" s="479">
        <v>1</v>
      </c>
      <c r="BC459" s="119">
        <v>6</v>
      </c>
    </row>
    <row r="460" spans="1:55" ht="31.5" x14ac:dyDescent="0.25">
      <c r="A460" s="524">
        <v>33</v>
      </c>
      <c r="B460" s="564" t="s">
        <v>1472</v>
      </c>
      <c r="C460" s="450"/>
      <c r="D460" s="450"/>
      <c r="E460" s="450"/>
      <c r="F460" s="569"/>
      <c r="G460" s="452"/>
      <c r="H460" s="452"/>
      <c r="I460" s="492"/>
      <c r="J460" s="492"/>
      <c r="K460" s="492"/>
      <c r="L460" s="492"/>
      <c r="M460" s="492"/>
      <c r="N460" s="492"/>
      <c r="O460" s="492"/>
      <c r="P460" s="492"/>
      <c r="Q460" s="492"/>
      <c r="R460" s="492"/>
      <c r="S460" s="492"/>
      <c r="T460" s="492"/>
      <c r="U460" s="492"/>
      <c r="V460" s="492"/>
      <c r="W460" s="492"/>
      <c r="X460" s="453">
        <v>2500</v>
      </c>
      <c r="Y460" s="453">
        <v>2250</v>
      </c>
      <c r="Z460" s="453"/>
      <c r="AA460" s="453"/>
      <c r="AB460" s="453"/>
      <c r="AC460" s="452"/>
      <c r="AD460" s="452"/>
      <c r="AE460" s="452"/>
      <c r="AF460" s="452"/>
      <c r="AG460" s="452"/>
      <c r="AH460" s="452"/>
      <c r="AI460" s="452"/>
      <c r="AJ460" s="454"/>
      <c r="AK460" s="454">
        <f t="shared" si="61"/>
        <v>0</v>
      </c>
      <c r="AL460" s="454">
        <f t="shared" si="62"/>
        <v>1808</v>
      </c>
      <c r="AM460" s="570">
        <v>509</v>
      </c>
      <c r="AN460" s="566">
        <v>442</v>
      </c>
      <c r="AO460" s="454"/>
      <c r="AP460" s="454"/>
      <c r="AQ460" s="452"/>
      <c r="AR460" s="452"/>
      <c r="AS460" s="566">
        <v>509</v>
      </c>
      <c r="AT460" s="566">
        <v>442</v>
      </c>
      <c r="AU460" s="495"/>
      <c r="AV460" s="495"/>
      <c r="AW460" s="10"/>
      <c r="AX460" s="119"/>
      <c r="BB460" s="479">
        <v>1</v>
      </c>
      <c r="BC460" s="119">
        <v>6</v>
      </c>
    </row>
    <row r="461" spans="1:55" ht="31.5" x14ac:dyDescent="0.25">
      <c r="A461" s="524">
        <v>34</v>
      </c>
      <c r="B461" s="564" t="s">
        <v>1473</v>
      </c>
      <c r="C461" s="450"/>
      <c r="D461" s="450"/>
      <c r="E461" s="450"/>
      <c r="F461" s="567"/>
      <c r="G461" s="452"/>
      <c r="H461" s="452"/>
      <c r="I461" s="492"/>
      <c r="J461" s="492"/>
      <c r="K461" s="492"/>
      <c r="L461" s="492"/>
      <c r="M461" s="492"/>
      <c r="N461" s="492"/>
      <c r="O461" s="492"/>
      <c r="P461" s="492"/>
      <c r="Q461" s="492"/>
      <c r="R461" s="492"/>
      <c r="S461" s="492"/>
      <c r="T461" s="492"/>
      <c r="U461" s="492"/>
      <c r="V461" s="492"/>
      <c r="W461" s="492"/>
      <c r="X461" s="453">
        <v>1000</v>
      </c>
      <c r="Y461" s="453">
        <v>900</v>
      </c>
      <c r="Z461" s="453"/>
      <c r="AA461" s="453"/>
      <c r="AB461" s="453"/>
      <c r="AC461" s="452"/>
      <c r="AD461" s="452"/>
      <c r="AE461" s="452"/>
      <c r="AF461" s="452"/>
      <c r="AG461" s="452"/>
      <c r="AH461" s="452"/>
      <c r="AI461" s="452"/>
      <c r="AJ461" s="454"/>
      <c r="AK461" s="454">
        <f t="shared" si="61"/>
        <v>0</v>
      </c>
      <c r="AL461" s="454">
        <f t="shared" si="62"/>
        <v>453</v>
      </c>
      <c r="AM461" s="570">
        <v>509</v>
      </c>
      <c r="AN461" s="566">
        <v>447</v>
      </c>
      <c r="AO461" s="454"/>
      <c r="AP461" s="454"/>
      <c r="AQ461" s="452"/>
      <c r="AR461" s="452"/>
      <c r="AS461" s="566">
        <v>509</v>
      </c>
      <c r="AT461" s="566">
        <v>447</v>
      </c>
      <c r="AU461" s="495"/>
      <c r="AV461" s="495"/>
      <c r="AW461" s="10"/>
      <c r="AX461" s="119"/>
      <c r="BB461" s="479">
        <v>1</v>
      </c>
      <c r="BC461" s="119">
        <v>2</v>
      </c>
    </row>
    <row r="462" spans="1:55" ht="31.5" x14ac:dyDescent="0.25">
      <c r="A462" s="524">
        <v>35</v>
      </c>
      <c r="B462" s="564" t="s">
        <v>1474</v>
      </c>
      <c r="C462" s="450"/>
      <c r="D462" s="450"/>
      <c r="E462" s="450"/>
      <c r="F462" s="564"/>
      <c r="G462" s="452"/>
      <c r="H462" s="452"/>
      <c r="I462" s="492"/>
      <c r="J462" s="492"/>
      <c r="K462" s="492"/>
      <c r="L462" s="492"/>
      <c r="M462" s="492"/>
      <c r="N462" s="492"/>
      <c r="O462" s="492"/>
      <c r="P462" s="492"/>
      <c r="Q462" s="492"/>
      <c r="R462" s="492"/>
      <c r="S462" s="492"/>
      <c r="T462" s="492"/>
      <c r="U462" s="492"/>
      <c r="V462" s="492"/>
      <c r="W462" s="492"/>
      <c r="X462" s="453">
        <v>1500</v>
      </c>
      <c r="Y462" s="453">
        <v>1350</v>
      </c>
      <c r="Z462" s="453"/>
      <c r="AA462" s="453"/>
      <c r="AB462" s="453"/>
      <c r="AC462" s="452"/>
      <c r="AD462" s="452"/>
      <c r="AE462" s="452"/>
      <c r="AF462" s="452"/>
      <c r="AG462" s="452"/>
      <c r="AH462" s="452"/>
      <c r="AI462" s="452"/>
      <c r="AJ462" s="454"/>
      <c r="AK462" s="454">
        <f t="shared" si="61"/>
        <v>0</v>
      </c>
      <c r="AL462" s="454">
        <f t="shared" si="62"/>
        <v>902</v>
      </c>
      <c r="AM462" s="570">
        <v>509</v>
      </c>
      <c r="AN462" s="566">
        <v>448</v>
      </c>
      <c r="AO462" s="454"/>
      <c r="AP462" s="454"/>
      <c r="AQ462" s="452"/>
      <c r="AR462" s="452"/>
      <c r="AS462" s="566">
        <v>509</v>
      </c>
      <c r="AT462" s="566">
        <v>448</v>
      </c>
      <c r="AU462" s="495"/>
      <c r="AV462" s="495"/>
      <c r="AW462" s="10"/>
      <c r="AX462" s="119"/>
      <c r="BB462" s="479">
        <v>1</v>
      </c>
      <c r="BC462" s="119">
        <v>6</v>
      </c>
    </row>
    <row r="463" spans="1:55" ht="31.5" x14ac:dyDescent="0.25">
      <c r="A463" s="524">
        <v>36</v>
      </c>
      <c r="B463" s="569" t="s">
        <v>1475</v>
      </c>
      <c r="C463" s="450"/>
      <c r="D463" s="450"/>
      <c r="E463" s="450"/>
      <c r="F463" s="564"/>
      <c r="G463" s="452"/>
      <c r="H463" s="452"/>
      <c r="I463" s="492"/>
      <c r="J463" s="492"/>
      <c r="K463" s="492"/>
      <c r="L463" s="492"/>
      <c r="M463" s="492"/>
      <c r="N463" s="492"/>
      <c r="O463" s="492"/>
      <c r="P463" s="492"/>
      <c r="Q463" s="492"/>
      <c r="R463" s="492"/>
      <c r="S463" s="492"/>
      <c r="T463" s="492"/>
      <c r="U463" s="492"/>
      <c r="V463" s="492"/>
      <c r="W463" s="492"/>
      <c r="X463" s="453">
        <v>1500</v>
      </c>
      <c r="Y463" s="453">
        <v>1050</v>
      </c>
      <c r="Z463" s="453"/>
      <c r="AA463" s="453"/>
      <c r="AB463" s="453"/>
      <c r="AC463" s="452"/>
      <c r="AD463" s="452"/>
      <c r="AE463" s="452"/>
      <c r="AF463" s="452"/>
      <c r="AG463" s="452"/>
      <c r="AH463" s="452"/>
      <c r="AI463" s="452"/>
      <c r="AJ463" s="454"/>
      <c r="AK463" s="454">
        <f>IF(AN463-Y463&gt;0,AN463-Y463,0)</f>
        <v>0</v>
      </c>
      <c r="AL463" s="454">
        <f t="shared" si="62"/>
        <v>601</v>
      </c>
      <c r="AM463" s="570">
        <v>509</v>
      </c>
      <c r="AN463" s="566">
        <v>449</v>
      </c>
      <c r="AO463" s="454"/>
      <c r="AP463" s="454"/>
      <c r="AQ463" s="452"/>
      <c r="AR463" s="452"/>
      <c r="AS463" s="566">
        <v>509</v>
      </c>
      <c r="AT463" s="566">
        <v>449</v>
      </c>
      <c r="AU463" s="495"/>
      <c r="AV463" s="495"/>
      <c r="AW463" s="10"/>
      <c r="AX463" s="119"/>
      <c r="BB463" s="479">
        <v>1</v>
      </c>
      <c r="BC463" s="119">
        <v>6</v>
      </c>
    </row>
    <row r="464" spans="1:55" x14ac:dyDescent="0.25">
      <c r="A464" s="524">
        <v>37</v>
      </c>
      <c r="B464" s="572" t="s">
        <v>1476</v>
      </c>
      <c r="C464" s="450"/>
      <c r="D464" s="450"/>
      <c r="E464" s="450"/>
      <c r="F464" s="564"/>
      <c r="G464" s="452"/>
      <c r="H464" s="452"/>
      <c r="I464" s="492"/>
      <c r="J464" s="492"/>
      <c r="K464" s="492"/>
      <c r="L464" s="492"/>
      <c r="M464" s="492"/>
      <c r="N464" s="492"/>
      <c r="O464" s="492"/>
      <c r="P464" s="492"/>
      <c r="Q464" s="492"/>
      <c r="R464" s="492"/>
      <c r="S464" s="492"/>
      <c r="T464" s="492"/>
      <c r="U464" s="492"/>
      <c r="V464" s="492"/>
      <c r="W464" s="492"/>
      <c r="X464" s="453">
        <v>1500</v>
      </c>
      <c r="Y464" s="453">
        <v>1350</v>
      </c>
      <c r="Z464" s="453"/>
      <c r="AA464" s="453"/>
      <c r="AB464" s="453"/>
      <c r="AC464" s="452"/>
      <c r="AD464" s="452"/>
      <c r="AE464" s="452"/>
      <c r="AF464" s="452"/>
      <c r="AG464" s="452"/>
      <c r="AH464" s="452"/>
      <c r="AI464" s="452"/>
      <c r="AJ464" s="454"/>
      <c r="AK464" s="454">
        <f t="shared" si="61"/>
        <v>283</v>
      </c>
      <c r="AL464" s="454">
        <f t="shared" si="62"/>
        <v>0</v>
      </c>
      <c r="AM464" s="570">
        <v>1633</v>
      </c>
      <c r="AN464" s="566">
        <v>1466</v>
      </c>
      <c r="AO464" s="454"/>
      <c r="AP464" s="454"/>
      <c r="AQ464" s="452"/>
      <c r="AR464" s="452"/>
      <c r="AS464" s="566">
        <v>2200</v>
      </c>
      <c r="AT464" s="566">
        <v>1466</v>
      </c>
      <c r="AU464" s="495"/>
      <c r="AV464" s="495"/>
      <c r="AW464" s="10"/>
      <c r="AX464" s="119"/>
      <c r="BB464" s="479">
        <v>1</v>
      </c>
      <c r="BC464" s="119">
        <v>6</v>
      </c>
    </row>
    <row r="465" spans="1:55" ht="47.25" x14ac:dyDescent="0.25">
      <c r="A465" s="524">
        <v>38</v>
      </c>
      <c r="B465" s="572" t="s">
        <v>1477</v>
      </c>
      <c r="C465" s="450"/>
      <c r="D465" s="450"/>
      <c r="E465" s="450"/>
      <c r="F465" s="569"/>
      <c r="G465" s="452"/>
      <c r="H465" s="452"/>
      <c r="I465" s="492"/>
      <c r="J465" s="492"/>
      <c r="K465" s="492"/>
      <c r="L465" s="492"/>
      <c r="M465" s="492"/>
      <c r="N465" s="492"/>
      <c r="O465" s="492"/>
      <c r="P465" s="492"/>
      <c r="Q465" s="492"/>
      <c r="R465" s="492"/>
      <c r="S465" s="492"/>
      <c r="T465" s="492"/>
      <c r="U465" s="492"/>
      <c r="V465" s="492"/>
      <c r="W465" s="492"/>
      <c r="X465" s="453">
        <v>1200</v>
      </c>
      <c r="Y465" s="453">
        <v>1080</v>
      </c>
      <c r="Z465" s="453"/>
      <c r="AA465" s="453"/>
      <c r="AB465" s="453"/>
      <c r="AC465" s="452"/>
      <c r="AD465" s="452"/>
      <c r="AE465" s="452"/>
      <c r="AF465" s="452"/>
      <c r="AG465" s="452"/>
      <c r="AH465" s="452"/>
      <c r="AI465" s="452"/>
      <c r="AJ465" s="454"/>
      <c r="AK465" s="454">
        <f t="shared" si="61"/>
        <v>35</v>
      </c>
      <c r="AL465" s="454">
        <f t="shared" si="62"/>
        <v>0</v>
      </c>
      <c r="AM465" s="570">
        <v>1115</v>
      </c>
      <c r="AN465" s="566">
        <v>1091</v>
      </c>
      <c r="AO465" s="454"/>
      <c r="AP465" s="454"/>
      <c r="AQ465" s="452"/>
      <c r="AR465" s="452"/>
      <c r="AS465" s="566">
        <v>1115</v>
      </c>
      <c r="AT465" s="566">
        <v>1091</v>
      </c>
      <c r="AU465" s="495"/>
      <c r="AV465" s="495"/>
      <c r="AW465" s="10"/>
      <c r="AX465" s="119"/>
      <c r="BB465" s="479">
        <v>1</v>
      </c>
      <c r="BC465" s="119">
        <v>6</v>
      </c>
    </row>
    <row r="466" spans="1:55" ht="31.5" x14ac:dyDescent="0.25">
      <c r="A466" s="524">
        <v>39</v>
      </c>
      <c r="B466" s="572" t="s">
        <v>1478</v>
      </c>
      <c r="C466" s="450"/>
      <c r="D466" s="450"/>
      <c r="E466" s="450"/>
      <c r="F466" s="572"/>
      <c r="G466" s="452"/>
      <c r="H466" s="452"/>
      <c r="I466" s="492"/>
      <c r="J466" s="492"/>
      <c r="K466" s="492"/>
      <c r="L466" s="492"/>
      <c r="M466" s="492"/>
      <c r="N466" s="492"/>
      <c r="O466" s="492"/>
      <c r="P466" s="492"/>
      <c r="Q466" s="492"/>
      <c r="R466" s="492"/>
      <c r="S466" s="492"/>
      <c r="T466" s="492"/>
      <c r="U466" s="492"/>
      <c r="V466" s="492"/>
      <c r="W466" s="492"/>
      <c r="X466" s="453">
        <v>1200</v>
      </c>
      <c r="Y466" s="453">
        <v>1080</v>
      </c>
      <c r="Z466" s="453"/>
      <c r="AA466" s="453"/>
      <c r="AB466" s="453"/>
      <c r="AC466" s="452"/>
      <c r="AD466" s="452"/>
      <c r="AE466" s="452"/>
      <c r="AF466" s="452"/>
      <c r="AG466" s="452"/>
      <c r="AH466" s="452"/>
      <c r="AI466" s="452"/>
      <c r="AJ466" s="454"/>
      <c r="AK466" s="454">
        <f t="shared" si="61"/>
        <v>0</v>
      </c>
      <c r="AL466" s="454">
        <f t="shared" si="62"/>
        <v>207</v>
      </c>
      <c r="AM466" s="570">
        <v>1000</v>
      </c>
      <c r="AN466" s="566">
        <v>873</v>
      </c>
      <c r="AO466" s="454"/>
      <c r="AP466" s="454"/>
      <c r="AQ466" s="452"/>
      <c r="AR466" s="452"/>
      <c r="AS466" s="566">
        <v>1000</v>
      </c>
      <c r="AT466" s="566">
        <v>873</v>
      </c>
      <c r="AU466" s="495"/>
      <c r="AV466" s="495"/>
      <c r="AW466" s="10"/>
      <c r="AX466" s="119"/>
      <c r="BB466" s="479">
        <v>1</v>
      </c>
      <c r="BC466" s="119">
        <v>6</v>
      </c>
    </row>
    <row r="467" spans="1:55" ht="31.5" x14ac:dyDescent="0.25">
      <c r="A467" s="524">
        <v>40</v>
      </c>
      <c r="B467" s="572" t="s">
        <v>1479</v>
      </c>
      <c r="C467" s="450"/>
      <c r="D467" s="450"/>
      <c r="E467" s="450"/>
      <c r="F467" s="572"/>
      <c r="G467" s="452"/>
      <c r="H467" s="452"/>
      <c r="I467" s="492"/>
      <c r="J467" s="492"/>
      <c r="K467" s="492"/>
      <c r="L467" s="492"/>
      <c r="M467" s="492"/>
      <c r="N467" s="492"/>
      <c r="O467" s="492"/>
      <c r="P467" s="492"/>
      <c r="Q467" s="492"/>
      <c r="R467" s="492"/>
      <c r="S467" s="492"/>
      <c r="T467" s="492"/>
      <c r="U467" s="492"/>
      <c r="V467" s="492"/>
      <c r="W467" s="492"/>
      <c r="X467" s="453">
        <v>1500</v>
      </c>
      <c r="Y467" s="453">
        <v>1350</v>
      </c>
      <c r="Z467" s="453"/>
      <c r="AA467" s="453"/>
      <c r="AB467" s="453"/>
      <c r="AC467" s="452"/>
      <c r="AD467" s="452"/>
      <c r="AE467" s="452"/>
      <c r="AF467" s="452"/>
      <c r="AG467" s="452"/>
      <c r="AH467" s="452"/>
      <c r="AI467" s="452"/>
      <c r="AJ467" s="454"/>
      <c r="AK467" s="454">
        <f t="shared" si="61"/>
        <v>900</v>
      </c>
      <c r="AL467" s="454">
        <f t="shared" si="62"/>
        <v>0</v>
      </c>
      <c r="AM467" s="570">
        <v>2250</v>
      </c>
      <c r="AN467" s="566">
        <v>2014</v>
      </c>
      <c r="AO467" s="454"/>
      <c r="AP467" s="454"/>
      <c r="AQ467" s="452"/>
      <c r="AR467" s="452"/>
      <c r="AS467" s="566">
        <v>2250</v>
      </c>
      <c r="AT467" s="566">
        <v>2014</v>
      </c>
      <c r="AU467" s="495"/>
      <c r="AV467" s="495"/>
      <c r="AW467" s="10"/>
      <c r="AX467" s="119"/>
      <c r="BB467" s="479">
        <v>1</v>
      </c>
      <c r="BC467" s="119">
        <v>6</v>
      </c>
    </row>
    <row r="468" spans="1:55" x14ac:dyDescent="0.25">
      <c r="A468" s="524">
        <v>41</v>
      </c>
      <c r="B468" s="567" t="s">
        <v>1480</v>
      </c>
      <c r="C468" s="450"/>
      <c r="D468" s="450"/>
      <c r="E468" s="450"/>
      <c r="F468" s="572"/>
      <c r="G468" s="452"/>
      <c r="H468" s="452"/>
      <c r="I468" s="492"/>
      <c r="J468" s="492"/>
      <c r="K468" s="492"/>
      <c r="L468" s="492"/>
      <c r="M468" s="492"/>
      <c r="N468" s="492"/>
      <c r="O468" s="492"/>
      <c r="P468" s="492"/>
      <c r="Q468" s="492"/>
      <c r="R468" s="492"/>
      <c r="S468" s="492"/>
      <c r="T468" s="492"/>
      <c r="U468" s="492"/>
      <c r="V468" s="492"/>
      <c r="W468" s="492"/>
      <c r="X468" s="453">
        <v>500</v>
      </c>
      <c r="Y468" s="453">
        <v>450</v>
      </c>
      <c r="Z468" s="453"/>
      <c r="AA468" s="453"/>
      <c r="AB468" s="453"/>
      <c r="AC468" s="452"/>
      <c r="AD468" s="452"/>
      <c r="AE468" s="452"/>
      <c r="AF468" s="452"/>
      <c r="AG468" s="452"/>
      <c r="AH468" s="452"/>
      <c r="AI468" s="452"/>
      <c r="AJ468" s="454"/>
      <c r="AK468" s="454">
        <f t="shared" si="61"/>
        <v>1550</v>
      </c>
      <c r="AL468" s="454">
        <f t="shared" si="62"/>
        <v>0</v>
      </c>
      <c r="AM468" s="570">
        <v>2000</v>
      </c>
      <c r="AN468" s="566">
        <v>1799</v>
      </c>
      <c r="AO468" s="454"/>
      <c r="AP468" s="454"/>
      <c r="AQ468" s="452"/>
      <c r="AR468" s="452"/>
      <c r="AS468" s="566">
        <v>2000</v>
      </c>
      <c r="AT468" s="566">
        <v>1799</v>
      </c>
      <c r="AU468" s="495"/>
      <c r="AV468" s="495"/>
      <c r="AW468" s="10"/>
      <c r="AX468" s="119"/>
      <c r="BB468" s="479">
        <v>1</v>
      </c>
      <c r="BC468" s="119">
        <v>6</v>
      </c>
    </row>
    <row r="469" spans="1:55" ht="31.5" x14ac:dyDescent="0.25">
      <c r="A469" s="524">
        <v>42</v>
      </c>
      <c r="B469" s="567" t="s">
        <v>1481</v>
      </c>
      <c r="C469" s="450"/>
      <c r="D469" s="450"/>
      <c r="E469" s="450"/>
      <c r="F469" s="572"/>
      <c r="G469" s="452"/>
      <c r="H469" s="452"/>
      <c r="I469" s="492"/>
      <c r="J469" s="492"/>
      <c r="K469" s="492"/>
      <c r="L469" s="492"/>
      <c r="M469" s="492"/>
      <c r="N469" s="492"/>
      <c r="O469" s="492"/>
      <c r="P469" s="492"/>
      <c r="Q469" s="492"/>
      <c r="R469" s="492"/>
      <c r="S469" s="492"/>
      <c r="T469" s="492"/>
      <c r="U469" s="492"/>
      <c r="V469" s="492"/>
      <c r="W469" s="492"/>
      <c r="X469" s="453">
        <v>500</v>
      </c>
      <c r="Y469" s="453">
        <v>450</v>
      </c>
      <c r="Z469" s="453"/>
      <c r="AA469" s="453"/>
      <c r="AB469" s="453"/>
      <c r="AC469" s="452"/>
      <c r="AD469" s="452"/>
      <c r="AE469" s="452"/>
      <c r="AF469" s="452"/>
      <c r="AG469" s="452"/>
      <c r="AH469" s="452"/>
      <c r="AI469" s="452"/>
      <c r="AJ469" s="454"/>
      <c r="AK469" s="454">
        <f t="shared" si="61"/>
        <v>750</v>
      </c>
      <c r="AL469" s="454">
        <f t="shared" si="62"/>
        <v>0</v>
      </c>
      <c r="AM469" s="570">
        <v>1200</v>
      </c>
      <c r="AN469" s="566">
        <v>553</v>
      </c>
      <c r="AO469" s="454"/>
      <c r="AP469" s="454"/>
      <c r="AQ469" s="452"/>
      <c r="AR469" s="452"/>
      <c r="AS469" s="566">
        <v>1200</v>
      </c>
      <c r="AT469" s="566">
        <v>553</v>
      </c>
      <c r="AU469" s="495"/>
      <c r="AV469" s="495"/>
      <c r="AW469" s="10"/>
      <c r="AX469" s="119"/>
      <c r="BB469" s="479">
        <v>1</v>
      </c>
      <c r="BC469" s="119">
        <v>6</v>
      </c>
    </row>
    <row r="470" spans="1:55" ht="31.5" x14ac:dyDescent="0.25">
      <c r="A470" s="524">
        <v>43</v>
      </c>
      <c r="B470" s="567" t="s">
        <v>1482</v>
      </c>
      <c r="C470" s="450"/>
      <c r="D470" s="450"/>
      <c r="E470" s="450"/>
      <c r="F470" s="567"/>
      <c r="G470" s="452"/>
      <c r="H470" s="452"/>
      <c r="I470" s="492"/>
      <c r="J470" s="492"/>
      <c r="K470" s="492"/>
      <c r="L470" s="492"/>
      <c r="M470" s="492"/>
      <c r="N470" s="492"/>
      <c r="O470" s="492"/>
      <c r="P470" s="492"/>
      <c r="Q470" s="492"/>
      <c r="R470" s="492"/>
      <c r="S470" s="492"/>
      <c r="T470" s="492"/>
      <c r="U470" s="492"/>
      <c r="V470" s="492"/>
      <c r="W470" s="492"/>
      <c r="X470" s="453">
        <v>500</v>
      </c>
      <c r="Y470" s="453">
        <v>450</v>
      </c>
      <c r="Z470" s="453"/>
      <c r="AA470" s="453"/>
      <c r="AB470" s="453"/>
      <c r="AC470" s="452"/>
      <c r="AD470" s="452"/>
      <c r="AE470" s="452"/>
      <c r="AF470" s="452"/>
      <c r="AG470" s="452"/>
      <c r="AH470" s="452"/>
      <c r="AI470" s="452"/>
      <c r="AJ470" s="454"/>
      <c r="AK470" s="454">
        <f t="shared" si="61"/>
        <v>750</v>
      </c>
      <c r="AL470" s="454">
        <f t="shared" si="62"/>
        <v>0</v>
      </c>
      <c r="AM470" s="570">
        <v>1200</v>
      </c>
      <c r="AN470" s="566">
        <v>1077</v>
      </c>
      <c r="AO470" s="454"/>
      <c r="AP470" s="454"/>
      <c r="AQ470" s="452"/>
      <c r="AR470" s="452"/>
      <c r="AS470" s="566">
        <v>1200</v>
      </c>
      <c r="AT470" s="566">
        <v>1077</v>
      </c>
      <c r="AU470" s="495"/>
      <c r="AV470" s="495"/>
      <c r="AW470" s="10"/>
      <c r="AX470" s="119"/>
      <c r="BB470" s="479">
        <v>1</v>
      </c>
      <c r="BC470" s="119">
        <v>6</v>
      </c>
    </row>
    <row r="471" spans="1:55" ht="31.5" x14ac:dyDescent="0.25">
      <c r="A471" s="524">
        <v>44</v>
      </c>
      <c r="B471" s="567" t="s">
        <v>1483</v>
      </c>
      <c r="C471" s="450"/>
      <c r="D471" s="450"/>
      <c r="E471" s="450"/>
      <c r="F471" s="567"/>
      <c r="G471" s="452"/>
      <c r="H471" s="452"/>
      <c r="I471" s="492"/>
      <c r="J471" s="492"/>
      <c r="K471" s="492"/>
      <c r="L471" s="492"/>
      <c r="M471" s="492"/>
      <c r="N471" s="492"/>
      <c r="O471" s="492"/>
      <c r="P471" s="492"/>
      <c r="Q471" s="492"/>
      <c r="R471" s="492"/>
      <c r="S471" s="492"/>
      <c r="T471" s="492"/>
      <c r="U471" s="492"/>
      <c r="V471" s="492"/>
      <c r="W471" s="492"/>
      <c r="X471" s="453">
        <v>500</v>
      </c>
      <c r="Y471" s="453">
        <v>450</v>
      </c>
      <c r="Z471" s="453"/>
      <c r="AA471" s="453"/>
      <c r="AB471" s="453"/>
      <c r="AC471" s="452"/>
      <c r="AD471" s="452"/>
      <c r="AE471" s="452"/>
      <c r="AF471" s="452"/>
      <c r="AG471" s="452"/>
      <c r="AH471" s="452"/>
      <c r="AI471" s="452"/>
      <c r="AJ471" s="454"/>
      <c r="AK471" s="454">
        <f t="shared" si="61"/>
        <v>750</v>
      </c>
      <c r="AL471" s="454">
        <f t="shared" si="62"/>
        <v>0</v>
      </c>
      <c r="AM471" s="570">
        <v>1200</v>
      </c>
      <c r="AN471" s="566">
        <v>1073</v>
      </c>
      <c r="AO471" s="454"/>
      <c r="AP471" s="454"/>
      <c r="AQ471" s="452"/>
      <c r="AR471" s="452"/>
      <c r="AS471" s="566">
        <v>1200</v>
      </c>
      <c r="AT471" s="566">
        <v>1073</v>
      </c>
      <c r="AU471" s="495"/>
      <c r="AV471" s="495"/>
      <c r="AW471" s="10"/>
      <c r="AX471" s="119"/>
      <c r="BB471" s="479">
        <v>1</v>
      </c>
      <c r="BC471" s="119">
        <v>6</v>
      </c>
    </row>
    <row r="472" spans="1:55" ht="31.5" x14ac:dyDescent="0.25">
      <c r="A472" s="524">
        <v>45</v>
      </c>
      <c r="B472" s="572" t="s">
        <v>1484</v>
      </c>
      <c r="C472" s="450"/>
      <c r="D472" s="450"/>
      <c r="E472" s="450"/>
      <c r="F472" s="567"/>
      <c r="G472" s="452"/>
      <c r="H472" s="452"/>
      <c r="I472" s="492"/>
      <c r="J472" s="492"/>
      <c r="K472" s="492"/>
      <c r="L472" s="492"/>
      <c r="M472" s="492"/>
      <c r="N472" s="492"/>
      <c r="O472" s="492"/>
      <c r="P472" s="492"/>
      <c r="Q472" s="492"/>
      <c r="R472" s="492"/>
      <c r="S472" s="492"/>
      <c r="T472" s="492"/>
      <c r="U472" s="492"/>
      <c r="V472" s="492"/>
      <c r="W472" s="492"/>
      <c r="X472" s="453">
        <v>500</v>
      </c>
      <c r="Y472" s="453">
        <v>450</v>
      </c>
      <c r="Z472" s="453"/>
      <c r="AA472" s="453"/>
      <c r="AB472" s="453"/>
      <c r="AC472" s="452"/>
      <c r="AD472" s="452"/>
      <c r="AE472" s="452"/>
      <c r="AF472" s="452"/>
      <c r="AG472" s="452"/>
      <c r="AH472" s="452"/>
      <c r="AI472" s="452"/>
      <c r="AJ472" s="454"/>
      <c r="AK472" s="454">
        <f t="shared" si="61"/>
        <v>450</v>
      </c>
      <c r="AL472" s="454">
        <f t="shared" si="62"/>
        <v>0</v>
      </c>
      <c r="AM472" s="570">
        <v>900</v>
      </c>
      <c r="AN472" s="566">
        <v>804</v>
      </c>
      <c r="AO472" s="454"/>
      <c r="AP472" s="454"/>
      <c r="AQ472" s="452"/>
      <c r="AR472" s="452"/>
      <c r="AS472" s="566">
        <v>900</v>
      </c>
      <c r="AT472" s="566">
        <v>804</v>
      </c>
      <c r="AU472" s="495"/>
      <c r="AV472" s="495"/>
      <c r="AW472" s="10"/>
      <c r="AX472" s="119"/>
      <c r="BB472" s="479">
        <v>1</v>
      </c>
      <c r="BC472" s="119">
        <v>6</v>
      </c>
    </row>
    <row r="473" spans="1:55" ht="31.5" x14ac:dyDescent="0.25">
      <c r="A473" s="524">
        <v>46</v>
      </c>
      <c r="B473" s="564" t="s">
        <v>1485</v>
      </c>
      <c r="C473" s="450"/>
      <c r="D473" s="450"/>
      <c r="E473" s="450"/>
      <c r="F473" s="567"/>
      <c r="G473" s="452"/>
      <c r="H473" s="452"/>
      <c r="I473" s="492"/>
      <c r="J473" s="492"/>
      <c r="K473" s="492"/>
      <c r="L473" s="492"/>
      <c r="M473" s="492"/>
      <c r="N473" s="492"/>
      <c r="O473" s="492"/>
      <c r="P473" s="492"/>
      <c r="Q473" s="492"/>
      <c r="R473" s="492"/>
      <c r="S473" s="492"/>
      <c r="T473" s="492"/>
      <c r="U473" s="492"/>
      <c r="V473" s="492"/>
      <c r="W473" s="492"/>
      <c r="X473" s="453">
        <v>500</v>
      </c>
      <c r="Y473" s="453">
        <v>450</v>
      </c>
      <c r="Z473" s="453"/>
      <c r="AA473" s="453"/>
      <c r="AB473" s="453"/>
      <c r="AC473" s="452"/>
      <c r="AD473" s="452"/>
      <c r="AE473" s="452"/>
      <c r="AF473" s="452"/>
      <c r="AG473" s="452"/>
      <c r="AH473" s="452"/>
      <c r="AI473" s="452"/>
      <c r="AJ473" s="454"/>
      <c r="AK473" s="454">
        <f t="shared" si="61"/>
        <v>750</v>
      </c>
      <c r="AL473" s="454">
        <f t="shared" si="62"/>
        <v>0</v>
      </c>
      <c r="AM473" s="570">
        <v>1200</v>
      </c>
      <c r="AN473" s="566">
        <v>1075</v>
      </c>
      <c r="AO473" s="454"/>
      <c r="AP473" s="454"/>
      <c r="AQ473" s="452"/>
      <c r="AR473" s="452"/>
      <c r="AS473" s="566">
        <v>1200</v>
      </c>
      <c r="AT473" s="566">
        <v>1075</v>
      </c>
      <c r="AU473" s="495"/>
      <c r="AV473" s="495"/>
      <c r="AW473" s="10"/>
      <c r="AX473" s="119"/>
      <c r="BB473" s="479">
        <v>1</v>
      </c>
      <c r="BC473" s="119">
        <v>6</v>
      </c>
    </row>
    <row r="474" spans="1:55" x14ac:dyDescent="0.25">
      <c r="A474" s="524">
        <v>47</v>
      </c>
      <c r="B474" s="572" t="s">
        <v>1486</v>
      </c>
      <c r="C474" s="450"/>
      <c r="D474" s="450"/>
      <c r="E474" s="450"/>
      <c r="F474" s="572"/>
      <c r="G474" s="452"/>
      <c r="H474" s="452"/>
      <c r="I474" s="492"/>
      <c r="J474" s="492"/>
      <c r="K474" s="492"/>
      <c r="L474" s="492"/>
      <c r="M474" s="492"/>
      <c r="N474" s="492"/>
      <c r="O474" s="492"/>
      <c r="P474" s="492"/>
      <c r="Q474" s="492"/>
      <c r="R474" s="492"/>
      <c r="S474" s="492"/>
      <c r="T474" s="492"/>
      <c r="U474" s="492"/>
      <c r="V474" s="492"/>
      <c r="W474" s="492"/>
      <c r="X474" s="453">
        <v>500</v>
      </c>
      <c r="Y474" s="453">
        <v>450</v>
      </c>
      <c r="Z474" s="453"/>
      <c r="AA474" s="453"/>
      <c r="AB474" s="453"/>
      <c r="AC474" s="452"/>
      <c r="AD474" s="452"/>
      <c r="AE474" s="452"/>
      <c r="AF474" s="452"/>
      <c r="AG474" s="452"/>
      <c r="AH474" s="452"/>
      <c r="AI474" s="452"/>
      <c r="AJ474" s="454"/>
      <c r="AK474" s="454">
        <f t="shared" si="61"/>
        <v>550</v>
      </c>
      <c r="AL474" s="454">
        <f t="shared" si="62"/>
        <v>0</v>
      </c>
      <c r="AM474" s="570">
        <v>1000</v>
      </c>
      <c r="AN474" s="566">
        <v>897</v>
      </c>
      <c r="AO474" s="454"/>
      <c r="AP474" s="454"/>
      <c r="AQ474" s="452"/>
      <c r="AR474" s="452"/>
      <c r="AS474" s="566">
        <v>1000</v>
      </c>
      <c r="AT474" s="566">
        <v>897</v>
      </c>
      <c r="AU474" s="495"/>
      <c r="AV474" s="495"/>
      <c r="AW474" s="10"/>
      <c r="AX474" s="119"/>
      <c r="BB474" s="479">
        <v>1</v>
      </c>
      <c r="BC474" s="119">
        <v>2</v>
      </c>
    </row>
    <row r="475" spans="1:55" ht="31.5" x14ac:dyDescent="0.25">
      <c r="A475" s="524">
        <v>48</v>
      </c>
      <c r="B475" s="567" t="s">
        <v>1487</v>
      </c>
      <c r="C475" s="450"/>
      <c r="D475" s="450"/>
      <c r="E475" s="450"/>
      <c r="F475" s="564"/>
      <c r="G475" s="452"/>
      <c r="H475" s="452"/>
      <c r="I475" s="492"/>
      <c r="J475" s="492"/>
      <c r="K475" s="492"/>
      <c r="L475" s="492"/>
      <c r="M475" s="492"/>
      <c r="N475" s="492"/>
      <c r="O475" s="492"/>
      <c r="P475" s="492"/>
      <c r="Q475" s="492"/>
      <c r="R475" s="492"/>
      <c r="S475" s="492"/>
      <c r="T475" s="492"/>
      <c r="U475" s="492"/>
      <c r="V475" s="492"/>
      <c r="W475" s="492"/>
      <c r="X475" s="453">
        <v>500</v>
      </c>
      <c r="Y475" s="453">
        <v>450</v>
      </c>
      <c r="Z475" s="453"/>
      <c r="AA475" s="453"/>
      <c r="AB475" s="453"/>
      <c r="AC475" s="452"/>
      <c r="AD475" s="452"/>
      <c r="AE475" s="452"/>
      <c r="AF475" s="452"/>
      <c r="AG475" s="452"/>
      <c r="AH475" s="452"/>
      <c r="AI475" s="452"/>
      <c r="AJ475" s="454"/>
      <c r="AK475" s="454">
        <f t="shared" si="61"/>
        <v>0</v>
      </c>
      <c r="AL475" s="454">
        <f t="shared" si="62"/>
        <v>20</v>
      </c>
      <c r="AM475" s="570">
        <v>500</v>
      </c>
      <c r="AN475" s="566">
        <v>430</v>
      </c>
      <c r="AO475" s="454"/>
      <c r="AP475" s="454"/>
      <c r="AQ475" s="452"/>
      <c r="AR475" s="452"/>
      <c r="AS475" s="566">
        <v>500</v>
      </c>
      <c r="AT475" s="566">
        <v>430</v>
      </c>
      <c r="AU475" s="495"/>
      <c r="AV475" s="495"/>
      <c r="AW475" s="10"/>
      <c r="AX475" s="119"/>
      <c r="BB475" s="479">
        <v>1</v>
      </c>
      <c r="BC475" s="119">
        <v>3</v>
      </c>
    </row>
    <row r="476" spans="1:55" ht="31.5" x14ac:dyDescent="0.25">
      <c r="A476" s="524">
        <v>49</v>
      </c>
      <c r="B476" s="564" t="s">
        <v>1488</v>
      </c>
      <c r="C476" s="450"/>
      <c r="D476" s="450"/>
      <c r="E476" s="450"/>
      <c r="F476" s="572"/>
      <c r="G476" s="452"/>
      <c r="H476" s="452"/>
      <c r="I476" s="492"/>
      <c r="J476" s="492"/>
      <c r="K476" s="492"/>
      <c r="L476" s="492"/>
      <c r="M476" s="492"/>
      <c r="N476" s="492"/>
      <c r="O476" s="492"/>
      <c r="P476" s="492"/>
      <c r="Q476" s="492"/>
      <c r="R476" s="492"/>
      <c r="S476" s="492"/>
      <c r="T476" s="492"/>
      <c r="U476" s="492"/>
      <c r="V476" s="492"/>
      <c r="W476" s="492"/>
      <c r="X476" s="453">
        <v>1100</v>
      </c>
      <c r="Y476" s="453">
        <v>990</v>
      </c>
      <c r="Z476" s="453"/>
      <c r="AA476" s="453"/>
      <c r="AB476" s="453"/>
      <c r="AC476" s="452"/>
      <c r="AD476" s="452"/>
      <c r="AE476" s="452"/>
      <c r="AF476" s="452"/>
      <c r="AG476" s="452"/>
      <c r="AH476" s="452"/>
      <c r="AI476" s="452"/>
      <c r="AJ476" s="454"/>
      <c r="AK476" s="454">
        <f t="shared" si="61"/>
        <v>0</v>
      </c>
      <c r="AL476" s="454">
        <f t="shared" si="62"/>
        <v>540</v>
      </c>
      <c r="AM476" s="570">
        <v>500</v>
      </c>
      <c r="AN476" s="566">
        <v>450</v>
      </c>
      <c r="AO476" s="454"/>
      <c r="AP476" s="454"/>
      <c r="AQ476" s="452"/>
      <c r="AR476" s="452"/>
      <c r="AS476" s="566">
        <v>500</v>
      </c>
      <c r="AT476" s="566">
        <v>450</v>
      </c>
      <c r="AU476" s="495"/>
      <c r="AV476" s="495"/>
      <c r="AW476" s="10"/>
      <c r="AX476" s="119"/>
      <c r="BB476" s="479">
        <v>1</v>
      </c>
      <c r="BC476" s="119">
        <v>3</v>
      </c>
    </row>
    <row r="477" spans="1:55" ht="31.5" x14ac:dyDescent="0.25">
      <c r="A477" s="524">
        <v>50</v>
      </c>
      <c r="B477" s="564" t="s">
        <v>1489</v>
      </c>
      <c r="C477" s="450"/>
      <c r="D477" s="450"/>
      <c r="E477" s="450"/>
      <c r="F477" s="567"/>
      <c r="G477" s="452"/>
      <c r="H477" s="452"/>
      <c r="I477" s="492"/>
      <c r="J477" s="492"/>
      <c r="K477" s="492"/>
      <c r="L477" s="492"/>
      <c r="M477" s="492"/>
      <c r="N477" s="492"/>
      <c r="O477" s="492"/>
      <c r="P477" s="492"/>
      <c r="Q477" s="492"/>
      <c r="R477" s="492"/>
      <c r="S477" s="492"/>
      <c r="T477" s="492"/>
      <c r="U477" s="492"/>
      <c r="V477" s="492"/>
      <c r="W477" s="492"/>
      <c r="X477" s="453">
        <v>500</v>
      </c>
      <c r="Y477" s="453">
        <v>450</v>
      </c>
      <c r="Z477" s="453"/>
      <c r="AA477" s="453"/>
      <c r="AB477" s="453"/>
      <c r="AC477" s="452"/>
      <c r="AD477" s="452"/>
      <c r="AE477" s="452"/>
      <c r="AF477" s="452"/>
      <c r="AG477" s="452"/>
      <c r="AH477" s="452"/>
      <c r="AI477" s="452"/>
      <c r="AJ477" s="454"/>
      <c r="AK477" s="454">
        <f>IF(AN477-Y477&gt;0,AM477-Y477,0)</f>
        <v>0</v>
      </c>
      <c r="AL477" s="454">
        <f>IF(Y477-AN477&gt;0,Y477-AN477,0)</f>
        <v>2</v>
      </c>
      <c r="AM477" s="570">
        <v>500</v>
      </c>
      <c r="AN477" s="566">
        <v>448</v>
      </c>
      <c r="AO477" s="454"/>
      <c r="AP477" s="454"/>
      <c r="AQ477" s="452"/>
      <c r="AR477" s="452"/>
      <c r="AS477" s="566">
        <v>500</v>
      </c>
      <c r="AT477" s="566">
        <v>448</v>
      </c>
      <c r="AU477" s="495"/>
      <c r="AV477" s="495"/>
      <c r="AW477" s="10"/>
      <c r="AX477" s="119"/>
      <c r="BB477" s="479">
        <v>1</v>
      </c>
      <c r="BC477" s="119">
        <v>3</v>
      </c>
    </row>
    <row r="478" spans="1:55" ht="31.5" x14ac:dyDescent="0.25">
      <c r="A478" s="524">
        <v>51</v>
      </c>
      <c r="B478" s="569" t="s">
        <v>1490</v>
      </c>
      <c r="C478" s="450"/>
      <c r="D478" s="450"/>
      <c r="E478" s="450"/>
      <c r="F478" s="564"/>
      <c r="G478" s="452"/>
      <c r="H478" s="452"/>
      <c r="I478" s="492"/>
      <c r="J478" s="492"/>
      <c r="K478" s="492"/>
      <c r="L478" s="492"/>
      <c r="M478" s="492"/>
      <c r="N478" s="492"/>
      <c r="O478" s="492"/>
      <c r="P478" s="492"/>
      <c r="Q478" s="492"/>
      <c r="R478" s="492"/>
      <c r="S478" s="492"/>
      <c r="T478" s="492"/>
      <c r="U478" s="492"/>
      <c r="V478" s="492"/>
      <c r="W478" s="492"/>
      <c r="X478" s="453">
        <v>2200</v>
      </c>
      <c r="Y478" s="453">
        <v>2156</v>
      </c>
      <c r="Z478" s="453"/>
      <c r="AA478" s="453"/>
      <c r="AB478" s="453"/>
      <c r="AC478" s="452"/>
      <c r="AD478" s="452"/>
      <c r="AE478" s="452"/>
      <c r="AF478" s="452"/>
      <c r="AG478" s="452"/>
      <c r="AH478" s="452"/>
      <c r="AI478" s="452"/>
      <c r="AJ478" s="454"/>
      <c r="AK478" s="454">
        <f t="shared" si="61"/>
        <v>0</v>
      </c>
      <c r="AL478" s="454">
        <f t="shared" si="62"/>
        <v>1174</v>
      </c>
      <c r="AM478" s="570">
        <v>1100</v>
      </c>
      <c r="AN478" s="566">
        <v>982</v>
      </c>
      <c r="AO478" s="454"/>
      <c r="AP478" s="454"/>
      <c r="AQ478" s="452"/>
      <c r="AR478" s="452"/>
      <c r="AS478" s="566">
        <v>1100</v>
      </c>
      <c r="AT478" s="566">
        <v>982</v>
      </c>
      <c r="AU478" s="495"/>
      <c r="AV478" s="495"/>
      <c r="AW478" s="10"/>
      <c r="AX478" s="119"/>
      <c r="BB478" s="479">
        <v>1</v>
      </c>
      <c r="BC478" s="119">
        <v>6</v>
      </c>
    </row>
    <row r="479" spans="1:55" x14ac:dyDescent="0.25">
      <c r="A479" s="524">
        <v>52</v>
      </c>
      <c r="B479" s="572" t="s">
        <v>1491</v>
      </c>
      <c r="C479" s="450"/>
      <c r="D479" s="450"/>
      <c r="E479" s="450"/>
      <c r="F479" s="564"/>
      <c r="G479" s="452"/>
      <c r="H479" s="452"/>
      <c r="I479" s="492"/>
      <c r="J479" s="492"/>
      <c r="K479" s="492"/>
      <c r="L479" s="492"/>
      <c r="M479" s="492"/>
      <c r="N479" s="492"/>
      <c r="O479" s="492"/>
      <c r="P479" s="492"/>
      <c r="Q479" s="492"/>
      <c r="R479" s="492"/>
      <c r="S479" s="492"/>
      <c r="T479" s="492"/>
      <c r="U479" s="492"/>
      <c r="V479" s="492"/>
      <c r="W479" s="492"/>
      <c r="X479" s="453">
        <v>2500</v>
      </c>
      <c r="Y479" s="453">
        <v>2450</v>
      </c>
      <c r="Z479" s="453"/>
      <c r="AA479" s="453"/>
      <c r="AB479" s="453"/>
      <c r="AC479" s="452"/>
      <c r="AD479" s="452"/>
      <c r="AE479" s="452"/>
      <c r="AF479" s="452"/>
      <c r="AG479" s="452"/>
      <c r="AH479" s="452"/>
      <c r="AI479" s="452"/>
      <c r="AJ479" s="454"/>
      <c r="AK479" s="454">
        <f t="shared" si="61"/>
        <v>0</v>
      </c>
      <c r="AL479" s="454">
        <f t="shared" si="62"/>
        <v>2000</v>
      </c>
      <c r="AM479" s="570">
        <v>500</v>
      </c>
      <c r="AN479" s="566">
        <v>450</v>
      </c>
      <c r="AO479" s="454"/>
      <c r="AP479" s="454"/>
      <c r="AQ479" s="452"/>
      <c r="AR479" s="452"/>
      <c r="AS479" s="566">
        <v>500</v>
      </c>
      <c r="AT479" s="566">
        <v>450</v>
      </c>
      <c r="AU479" s="495"/>
      <c r="AV479" s="495"/>
      <c r="AW479" s="10"/>
      <c r="AX479" s="119"/>
      <c r="BB479" s="479">
        <v>1</v>
      </c>
      <c r="BC479" s="119">
        <v>4</v>
      </c>
    </row>
    <row r="480" spans="1:55" x14ac:dyDescent="0.25">
      <c r="A480" s="524">
        <v>53</v>
      </c>
      <c r="B480" s="572" t="s">
        <v>1492</v>
      </c>
      <c r="C480" s="450"/>
      <c r="D480" s="450"/>
      <c r="E480" s="450"/>
      <c r="F480" s="569"/>
      <c r="G480" s="452"/>
      <c r="H480" s="452"/>
      <c r="I480" s="492"/>
      <c r="J480" s="492"/>
      <c r="K480" s="492"/>
      <c r="L480" s="492"/>
      <c r="M480" s="492"/>
      <c r="N480" s="492"/>
      <c r="O480" s="492"/>
      <c r="P480" s="492"/>
      <c r="Q480" s="492"/>
      <c r="R480" s="492"/>
      <c r="S480" s="492"/>
      <c r="T480" s="492"/>
      <c r="U480" s="492"/>
      <c r="V480" s="492"/>
      <c r="W480" s="492"/>
      <c r="X480" s="453">
        <v>1800</v>
      </c>
      <c r="Y480" s="453">
        <v>1763</v>
      </c>
      <c r="Z480" s="453"/>
      <c r="AA480" s="453"/>
      <c r="AB480" s="453"/>
      <c r="AC480" s="452"/>
      <c r="AD480" s="452"/>
      <c r="AE480" s="452"/>
      <c r="AF480" s="452"/>
      <c r="AG480" s="452"/>
      <c r="AH480" s="452"/>
      <c r="AI480" s="452"/>
      <c r="AJ480" s="454"/>
      <c r="AK480" s="454">
        <f t="shared" si="61"/>
        <v>737</v>
      </c>
      <c r="AL480" s="454">
        <f t="shared" si="62"/>
        <v>0</v>
      </c>
      <c r="AM480" s="570">
        <v>2500</v>
      </c>
      <c r="AN480" s="566">
        <v>2445</v>
      </c>
      <c r="AO480" s="454"/>
      <c r="AP480" s="454"/>
      <c r="AQ480" s="452"/>
      <c r="AR480" s="452"/>
      <c r="AS480" s="566">
        <v>2500</v>
      </c>
      <c r="AT480" s="566">
        <v>2445</v>
      </c>
      <c r="AU480" s="495"/>
      <c r="AV480" s="495"/>
      <c r="AW480" s="10"/>
      <c r="AX480" s="119"/>
      <c r="BB480" s="479">
        <v>1</v>
      </c>
      <c r="BC480" s="119">
        <v>4</v>
      </c>
    </row>
    <row r="481" spans="1:55" ht="31.5" x14ac:dyDescent="0.25">
      <c r="A481" s="524">
        <v>54</v>
      </c>
      <c r="B481" s="572" t="s">
        <v>1493</v>
      </c>
      <c r="C481" s="450"/>
      <c r="D481" s="450"/>
      <c r="E481" s="450"/>
      <c r="F481" s="572"/>
      <c r="G481" s="452"/>
      <c r="H481" s="452"/>
      <c r="I481" s="492"/>
      <c r="J481" s="492"/>
      <c r="K481" s="492"/>
      <c r="L481" s="492"/>
      <c r="M481" s="492"/>
      <c r="N481" s="492"/>
      <c r="O481" s="492"/>
      <c r="P481" s="492"/>
      <c r="Q481" s="492"/>
      <c r="R481" s="492"/>
      <c r="S481" s="492"/>
      <c r="T481" s="492"/>
      <c r="U481" s="492"/>
      <c r="V481" s="492"/>
      <c r="W481" s="492"/>
      <c r="X481" s="453">
        <v>1115</v>
      </c>
      <c r="Y481" s="453">
        <v>1093</v>
      </c>
      <c r="Z481" s="453"/>
      <c r="AA481" s="453"/>
      <c r="AB481" s="453"/>
      <c r="AC481" s="452"/>
      <c r="AD481" s="452"/>
      <c r="AE481" s="452"/>
      <c r="AF481" s="452"/>
      <c r="AG481" s="452"/>
      <c r="AH481" s="452"/>
      <c r="AI481" s="452"/>
      <c r="AJ481" s="454"/>
      <c r="AK481" s="454">
        <f t="shared" si="61"/>
        <v>707</v>
      </c>
      <c r="AL481" s="454">
        <f t="shared" si="62"/>
        <v>0</v>
      </c>
      <c r="AM481" s="570">
        <v>1800</v>
      </c>
      <c r="AN481" s="566">
        <v>1756</v>
      </c>
      <c r="AO481" s="454"/>
      <c r="AP481" s="454"/>
      <c r="AQ481" s="452"/>
      <c r="AR481" s="452"/>
      <c r="AS481" s="566">
        <v>1800</v>
      </c>
      <c r="AT481" s="566">
        <v>1756</v>
      </c>
      <c r="AU481" s="495"/>
      <c r="AV481" s="495"/>
      <c r="AW481" s="10"/>
      <c r="AX481" s="119"/>
      <c r="BB481" s="479">
        <v>1</v>
      </c>
      <c r="BC481" s="119">
        <v>4</v>
      </c>
    </row>
    <row r="482" spans="1:55" ht="31.5" x14ac:dyDescent="0.25">
      <c r="A482" s="524">
        <v>55</v>
      </c>
      <c r="B482" s="572" t="s">
        <v>1494</v>
      </c>
      <c r="C482" s="450"/>
      <c r="D482" s="450"/>
      <c r="E482" s="450"/>
      <c r="F482" s="572"/>
      <c r="G482" s="452"/>
      <c r="H482" s="452"/>
      <c r="I482" s="492"/>
      <c r="J482" s="492"/>
      <c r="K482" s="492"/>
      <c r="L482" s="492"/>
      <c r="M482" s="492"/>
      <c r="N482" s="492"/>
      <c r="O482" s="492"/>
      <c r="P482" s="492"/>
      <c r="Q482" s="492"/>
      <c r="R482" s="492"/>
      <c r="S482" s="492"/>
      <c r="T482" s="492"/>
      <c r="U482" s="492"/>
      <c r="V482" s="492"/>
      <c r="W482" s="492"/>
      <c r="X482" s="453">
        <v>1200</v>
      </c>
      <c r="Y482" s="453">
        <v>1176</v>
      </c>
      <c r="Z482" s="453"/>
      <c r="AA482" s="453"/>
      <c r="AB482" s="453"/>
      <c r="AC482" s="452"/>
      <c r="AD482" s="452"/>
      <c r="AE482" s="452"/>
      <c r="AF482" s="452"/>
      <c r="AG482" s="452"/>
      <c r="AH482" s="452"/>
      <c r="AI482" s="452"/>
      <c r="AJ482" s="454"/>
      <c r="AK482" s="454">
        <f t="shared" si="61"/>
        <v>0</v>
      </c>
      <c r="AL482" s="454">
        <f t="shared" si="62"/>
        <v>5</v>
      </c>
      <c r="AM482" s="570">
        <v>1200</v>
      </c>
      <c r="AN482" s="566">
        <v>1171</v>
      </c>
      <c r="AO482" s="454"/>
      <c r="AP482" s="454"/>
      <c r="AQ482" s="452"/>
      <c r="AR482" s="452"/>
      <c r="AS482" s="566">
        <v>1200</v>
      </c>
      <c r="AT482" s="566">
        <v>1171</v>
      </c>
      <c r="AU482" s="495"/>
      <c r="AV482" s="495"/>
      <c r="AW482" s="10"/>
      <c r="AX482" s="119"/>
      <c r="BB482" s="479">
        <v>1</v>
      </c>
      <c r="BC482" s="119">
        <v>4</v>
      </c>
    </row>
    <row r="483" spans="1:55" ht="31.5" x14ac:dyDescent="0.25">
      <c r="A483" s="524">
        <v>56</v>
      </c>
      <c r="B483" s="572" t="s">
        <v>1495</v>
      </c>
      <c r="C483" s="450"/>
      <c r="D483" s="450"/>
      <c r="E483" s="450"/>
      <c r="F483" s="572"/>
      <c r="G483" s="452"/>
      <c r="H483" s="452"/>
      <c r="I483" s="492"/>
      <c r="J483" s="492"/>
      <c r="K483" s="492"/>
      <c r="L483" s="492"/>
      <c r="M483" s="492"/>
      <c r="N483" s="492"/>
      <c r="O483" s="492"/>
      <c r="P483" s="492"/>
      <c r="Q483" s="492"/>
      <c r="R483" s="492"/>
      <c r="S483" s="492"/>
      <c r="T483" s="492"/>
      <c r="U483" s="492"/>
      <c r="V483" s="492"/>
      <c r="W483" s="492"/>
      <c r="X483" s="453">
        <v>1150</v>
      </c>
      <c r="Y483" s="453">
        <v>1127</v>
      </c>
      <c r="Z483" s="453"/>
      <c r="AA483" s="453"/>
      <c r="AB483" s="453"/>
      <c r="AC483" s="452"/>
      <c r="AD483" s="452"/>
      <c r="AE483" s="452"/>
      <c r="AF483" s="452"/>
      <c r="AG483" s="452"/>
      <c r="AH483" s="452"/>
      <c r="AI483" s="452"/>
      <c r="AJ483" s="454"/>
      <c r="AK483" s="454">
        <f t="shared" si="61"/>
        <v>0</v>
      </c>
      <c r="AL483" s="454">
        <f t="shared" si="62"/>
        <v>3</v>
      </c>
      <c r="AM483" s="570">
        <v>1150</v>
      </c>
      <c r="AN483" s="566">
        <v>1124</v>
      </c>
      <c r="AO483" s="454"/>
      <c r="AP483" s="454"/>
      <c r="AQ483" s="452"/>
      <c r="AR483" s="452"/>
      <c r="AS483" s="566">
        <v>1150</v>
      </c>
      <c r="AT483" s="566">
        <v>1124</v>
      </c>
      <c r="AU483" s="495"/>
      <c r="AV483" s="495"/>
      <c r="AW483" s="10"/>
      <c r="AX483" s="119"/>
      <c r="BB483" s="479">
        <v>1</v>
      </c>
      <c r="BC483" s="119">
        <v>4</v>
      </c>
    </row>
    <row r="484" spans="1:55" x14ac:dyDescent="0.25">
      <c r="A484" s="524">
        <v>57</v>
      </c>
      <c r="B484" s="572" t="s">
        <v>1496</v>
      </c>
      <c r="C484" s="450"/>
      <c r="D484" s="450"/>
      <c r="E484" s="450"/>
      <c r="F484" s="572"/>
      <c r="G484" s="452"/>
      <c r="H484" s="452"/>
      <c r="I484" s="492"/>
      <c r="J484" s="492"/>
      <c r="K484" s="492"/>
      <c r="L484" s="492"/>
      <c r="M484" s="492"/>
      <c r="N484" s="492"/>
      <c r="O484" s="492"/>
      <c r="P484" s="492"/>
      <c r="Q484" s="492"/>
      <c r="R484" s="492"/>
      <c r="S484" s="492"/>
      <c r="T484" s="492"/>
      <c r="U484" s="492"/>
      <c r="V484" s="492"/>
      <c r="W484" s="492"/>
      <c r="X484" s="453">
        <v>1000</v>
      </c>
      <c r="Y484" s="453">
        <v>900</v>
      </c>
      <c r="Z484" s="453"/>
      <c r="AA484" s="453"/>
      <c r="AB484" s="453"/>
      <c r="AC484" s="452"/>
      <c r="AD484" s="452"/>
      <c r="AE484" s="452"/>
      <c r="AF484" s="452"/>
      <c r="AG484" s="452"/>
      <c r="AH484" s="452"/>
      <c r="AI484" s="452"/>
      <c r="AJ484" s="454"/>
      <c r="AK484" s="454">
        <f t="shared" si="61"/>
        <v>1100</v>
      </c>
      <c r="AL484" s="454">
        <f t="shared" si="62"/>
        <v>0</v>
      </c>
      <c r="AM484" s="570">
        <v>2000</v>
      </c>
      <c r="AN484" s="566">
        <v>1796</v>
      </c>
      <c r="AO484" s="454"/>
      <c r="AP484" s="454"/>
      <c r="AQ484" s="452"/>
      <c r="AR484" s="452"/>
      <c r="AS484" s="566">
        <v>2000</v>
      </c>
      <c r="AT484" s="566">
        <v>1796</v>
      </c>
      <c r="AU484" s="495"/>
      <c r="AV484" s="495"/>
      <c r="AW484" s="10"/>
      <c r="AX484" s="119"/>
      <c r="BB484" s="479">
        <v>1</v>
      </c>
      <c r="BC484" s="119">
        <v>4</v>
      </c>
    </row>
    <row r="485" spans="1:55" x14ac:dyDescent="0.25">
      <c r="A485" s="524">
        <v>58</v>
      </c>
      <c r="B485" s="572" t="s">
        <v>1497</v>
      </c>
      <c r="C485" s="450"/>
      <c r="D485" s="450"/>
      <c r="E485" s="450"/>
      <c r="F485" s="572"/>
      <c r="G485" s="452"/>
      <c r="H485" s="452"/>
      <c r="I485" s="492"/>
      <c r="J485" s="492"/>
      <c r="K485" s="492"/>
      <c r="L485" s="492"/>
      <c r="M485" s="492"/>
      <c r="N485" s="492"/>
      <c r="O485" s="492"/>
      <c r="P485" s="492"/>
      <c r="Q485" s="492"/>
      <c r="R485" s="492"/>
      <c r="S485" s="492"/>
      <c r="T485" s="492"/>
      <c r="U485" s="492"/>
      <c r="V485" s="492"/>
      <c r="W485" s="492"/>
      <c r="X485" s="453">
        <v>2000</v>
      </c>
      <c r="Y485" s="453">
        <v>1800</v>
      </c>
      <c r="Z485" s="453"/>
      <c r="AA485" s="453"/>
      <c r="AB485" s="453"/>
      <c r="AC485" s="452"/>
      <c r="AD485" s="452"/>
      <c r="AE485" s="452"/>
      <c r="AF485" s="452"/>
      <c r="AG485" s="452"/>
      <c r="AH485" s="452"/>
      <c r="AI485" s="452"/>
      <c r="AJ485" s="454"/>
      <c r="AK485" s="454">
        <f t="shared" si="61"/>
        <v>400</v>
      </c>
      <c r="AL485" s="454">
        <f t="shared" si="62"/>
        <v>0</v>
      </c>
      <c r="AM485" s="570">
        <v>2200</v>
      </c>
      <c r="AN485" s="566">
        <v>1974</v>
      </c>
      <c r="AO485" s="454"/>
      <c r="AP485" s="454"/>
      <c r="AQ485" s="452"/>
      <c r="AR485" s="452"/>
      <c r="AS485" s="566">
        <v>2200</v>
      </c>
      <c r="AT485" s="566">
        <v>1974</v>
      </c>
      <c r="AU485" s="495"/>
      <c r="AV485" s="495"/>
      <c r="AW485" s="10"/>
      <c r="AX485" s="119"/>
      <c r="BB485" s="479">
        <v>1</v>
      </c>
      <c r="BC485" s="119">
        <v>4</v>
      </c>
    </row>
    <row r="486" spans="1:55" x14ac:dyDescent="0.25">
      <c r="A486" s="524">
        <v>59</v>
      </c>
      <c r="B486" s="572" t="s">
        <v>1498</v>
      </c>
      <c r="C486" s="450"/>
      <c r="D486" s="450"/>
      <c r="E486" s="450"/>
      <c r="F486" s="572"/>
      <c r="G486" s="452"/>
      <c r="H486" s="452"/>
      <c r="I486" s="492"/>
      <c r="J486" s="492"/>
      <c r="K486" s="492"/>
      <c r="L486" s="492"/>
      <c r="M486" s="492"/>
      <c r="N486" s="492"/>
      <c r="O486" s="492"/>
      <c r="P486" s="492"/>
      <c r="Q486" s="492"/>
      <c r="R486" s="492"/>
      <c r="S486" s="492"/>
      <c r="T486" s="492"/>
      <c r="U486" s="492"/>
      <c r="V486" s="492"/>
      <c r="W486" s="492"/>
      <c r="X486" s="453">
        <v>2200</v>
      </c>
      <c r="Y486" s="453">
        <v>1980</v>
      </c>
      <c r="Z486" s="453"/>
      <c r="AA486" s="453"/>
      <c r="AB486" s="453"/>
      <c r="AC486" s="452"/>
      <c r="AD486" s="452"/>
      <c r="AE486" s="452"/>
      <c r="AF486" s="452"/>
      <c r="AG486" s="452"/>
      <c r="AH486" s="452"/>
      <c r="AI486" s="452"/>
      <c r="AJ486" s="454"/>
      <c r="AK486" s="454">
        <f t="shared" si="61"/>
        <v>0</v>
      </c>
      <c r="AL486" s="454">
        <f t="shared" si="62"/>
        <v>1550</v>
      </c>
      <c r="AM486" s="570">
        <v>500</v>
      </c>
      <c r="AN486" s="566">
        <v>430</v>
      </c>
      <c r="AO486" s="454"/>
      <c r="AP486" s="454"/>
      <c r="AQ486" s="452"/>
      <c r="AR486" s="452"/>
      <c r="AS486" s="566">
        <v>500</v>
      </c>
      <c r="AT486" s="566">
        <v>430</v>
      </c>
      <c r="AU486" s="495"/>
      <c r="AV486" s="495"/>
      <c r="AW486" s="10"/>
      <c r="AX486" s="119"/>
      <c r="BB486" s="479">
        <v>1</v>
      </c>
      <c r="BC486" s="119">
        <v>4</v>
      </c>
    </row>
    <row r="487" spans="1:55" x14ac:dyDescent="0.25">
      <c r="A487" s="524">
        <v>60</v>
      </c>
      <c r="B487" s="572" t="s">
        <v>1499</v>
      </c>
      <c r="C487" s="450"/>
      <c r="D487" s="450"/>
      <c r="E487" s="450"/>
      <c r="F487" s="572"/>
      <c r="G487" s="452"/>
      <c r="H487" s="452"/>
      <c r="I487" s="492"/>
      <c r="J487" s="492"/>
      <c r="K487" s="492"/>
      <c r="L487" s="492"/>
      <c r="M487" s="492"/>
      <c r="N487" s="492"/>
      <c r="O487" s="492"/>
      <c r="P487" s="492"/>
      <c r="Q487" s="492"/>
      <c r="R487" s="492"/>
      <c r="S487" s="492"/>
      <c r="T487" s="492"/>
      <c r="U487" s="492"/>
      <c r="V487" s="492"/>
      <c r="W487" s="492"/>
      <c r="X487" s="453">
        <v>500</v>
      </c>
      <c r="Y487" s="453">
        <v>450</v>
      </c>
      <c r="Z487" s="453"/>
      <c r="AA487" s="453"/>
      <c r="AB487" s="453"/>
      <c r="AC487" s="452"/>
      <c r="AD487" s="452"/>
      <c r="AE487" s="452"/>
      <c r="AF487" s="452"/>
      <c r="AG487" s="452"/>
      <c r="AH487" s="452"/>
      <c r="AI487" s="452"/>
      <c r="AJ487" s="454"/>
      <c r="AK487" s="454">
        <f t="shared" si="61"/>
        <v>150</v>
      </c>
      <c r="AL487" s="454">
        <f t="shared" si="62"/>
        <v>0</v>
      </c>
      <c r="AM487" s="570">
        <v>600</v>
      </c>
      <c r="AN487" s="566">
        <v>537</v>
      </c>
      <c r="AO487" s="454"/>
      <c r="AP487" s="454"/>
      <c r="AQ487" s="452"/>
      <c r="AR487" s="452"/>
      <c r="AS487" s="566">
        <v>600</v>
      </c>
      <c r="AT487" s="566">
        <v>537</v>
      </c>
      <c r="AU487" s="495"/>
      <c r="AV487" s="495"/>
      <c r="AW487" s="10"/>
      <c r="AX487" s="119"/>
      <c r="BB487" s="479">
        <v>1</v>
      </c>
      <c r="BC487" s="119">
        <v>4</v>
      </c>
    </row>
    <row r="488" spans="1:55" x14ac:dyDescent="0.25">
      <c r="A488" s="524">
        <v>61</v>
      </c>
      <c r="B488" s="572" t="s">
        <v>1500</v>
      </c>
      <c r="C488" s="450"/>
      <c r="D488" s="450"/>
      <c r="E488" s="450"/>
      <c r="F488" s="572"/>
      <c r="G488" s="452"/>
      <c r="H488" s="452"/>
      <c r="I488" s="492"/>
      <c r="J488" s="492"/>
      <c r="K488" s="492"/>
      <c r="L488" s="492"/>
      <c r="M488" s="492"/>
      <c r="N488" s="492"/>
      <c r="O488" s="492"/>
      <c r="P488" s="492"/>
      <c r="Q488" s="492"/>
      <c r="R488" s="492"/>
      <c r="S488" s="492"/>
      <c r="T488" s="492"/>
      <c r="U488" s="492"/>
      <c r="V488" s="492"/>
      <c r="W488" s="492"/>
      <c r="X488" s="453">
        <v>600</v>
      </c>
      <c r="Y488" s="453">
        <v>540</v>
      </c>
      <c r="Z488" s="453"/>
      <c r="AA488" s="453"/>
      <c r="AB488" s="453"/>
      <c r="AC488" s="452"/>
      <c r="AD488" s="452"/>
      <c r="AE488" s="452"/>
      <c r="AF488" s="452"/>
      <c r="AG488" s="452"/>
      <c r="AH488" s="452"/>
      <c r="AI488" s="452"/>
      <c r="AJ488" s="454"/>
      <c r="AK488" s="454">
        <f t="shared" si="61"/>
        <v>0</v>
      </c>
      <c r="AL488" s="454">
        <f t="shared" si="62"/>
        <v>0</v>
      </c>
      <c r="AM488" s="570">
        <v>600</v>
      </c>
      <c r="AN488" s="566">
        <v>540</v>
      </c>
      <c r="AO488" s="454"/>
      <c r="AP488" s="454"/>
      <c r="AQ488" s="452"/>
      <c r="AR488" s="452"/>
      <c r="AS488" s="566">
        <v>600</v>
      </c>
      <c r="AT488" s="566">
        <v>540</v>
      </c>
      <c r="AU488" s="495"/>
      <c r="AV488" s="495"/>
      <c r="AW488" s="10"/>
      <c r="AX488" s="119"/>
      <c r="BB488" s="479">
        <v>1</v>
      </c>
      <c r="BC488" s="119">
        <v>4</v>
      </c>
    </row>
    <row r="489" spans="1:55" x14ac:dyDescent="0.25">
      <c r="A489" s="524">
        <v>62</v>
      </c>
      <c r="B489" s="572" t="s">
        <v>1501</v>
      </c>
      <c r="C489" s="450"/>
      <c r="D489" s="450"/>
      <c r="E489" s="450"/>
      <c r="F489" s="572"/>
      <c r="G489" s="452"/>
      <c r="H489" s="452"/>
      <c r="I489" s="492"/>
      <c r="J489" s="492"/>
      <c r="K489" s="492"/>
      <c r="L489" s="492"/>
      <c r="M489" s="492"/>
      <c r="N489" s="492"/>
      <c r="O489" s="492"/>
      <c r="P489" s="492"/>
      <c r="Q489" s="492"/>
      <c r="R489" s="492"/>
      <c r="S489" s="492"/>
      <c r="T489" s="492"/>
      <c r="U489" s="492"/>
      <c r="V489" s="492"/>
      <c r="W489" s="492"/>
      <c r="X489" s="453">
        <v>600</v>
      </c>
      <c r="Y489" s="453">
        <v>540</v>
      </c>
      <c r="Z489" s="453"/>
      <c r="AA489" s="453"/>
      <c r="AB489" s="453"/>
      <c r="AC489" s="452"/>
      <c r="AD489" s="452"/>
      <c r="AE489" s="452"/>
      <c r="AF489" s="452"/>
      <c r="AG489" s="452"/>
      <c r="AH489" s="452"/>
      <c r="AI489" s="452"/>
      <c r="AJ489" s="454"/>
      <c r="AK489" s="454">
        <f t="shared" si="61"/>
        <v>0</v>
      </c>
      <c r="AL489" s="454">
        <f t="shared" si="62"/>
        <v>106</v>
      </c>
      <c r="AM489" s="570">
        <v>500</v>
      </c>
      <c r="AN489" s="566">
        <v>434</v>
      </c>
      <c r="AO489" s="454"/>
      <c r="AP489" s="454"/>
      <c r="AQ489" s="452"/>
      <c r="AR489" s="452"/>
      <c r="AS489" s="566">
        <v>500</v>
      </c>
      <c r="AT489" s="566">
        <v>434</v>
      </c>
      <c r="AU489" s="495"/>
      <c r="AV489" s="495"/>
      <c r="AW489" s="10"/>
      <c r="AX489" s="119"/>
      <c r="BB489" s="479">
        <v>1</v>
      </c>
      <c r="BC489" s="119">
        <v>4</v>
      </c>
    </row>
    <row r="490" spans="1:55" s="479" customFormat="1" ht="33.75" customHeight="1" x14ac:dyDescent="0.25">
      <c r="A490" s="573" t="s">
        <v>730</v>
      </c>
      <c r="B490" s="523" t="s">
        <v>1502</v>
      </c>
      <c r="C490" s="450"/>
      <c r="D490" s="450"/>
      <c r="E490" s="450"/>
      <c r="F490" s="572"/>
      <c r="G490" s="452"/>
      <c r="H490" s="452"/>
      <c r="I490" s="492"/>
      <c r="J490" s="492"/>
      <c r="K490" s="492"/>
      <c r="L490" s="492"/>
      <c r="M490" s="492"/>
      <c r="N490" s="492"/>
      <c r="O490" s="492"/>
      <c r="P490" s="492"/>
      <c r="Q490" s="492"/>
      <c r="R490" s="492"/>
      <c r="S490" s="492"/>
      <c r="T490" s="492"/>
      <c r="U490" s="492"/>
      <c r="V490" s="492"/>
      <c r="W490" s="492"/>
      <c r="X490" s="453">
        <v>2600</v>
      </c>
      <c r="Y490" s="453">
        <v>2340</v>
      </c>
      <c r="Z490" s="453"/>
      <c r="AA490" s="453"/>
      <c r="AB490" s="453"/>
      <c r="AC490" s="452"/>
      <c r="AD490" s="452"/>
      <c r="AE490" s="452"/>
      <c r="AF490" s="452"/>
      <c r="AG490" s="452"/>
      <c r="AH490" s="452"/>
      <c r="AI490" s="452"/>
      <c r="AJ490" s="454"/>
      <c r="AK490" s="454">
        <f>IF(AN490-Y490&gt;0,AM490-Y490,0)</f>
        <v>0</v>
      </c>
      <c r="AL490" s="454">
        <f t="shared" si="62"/>
        <v>2340</v>
      </c>
      <c r="AM490" s="574"/>
      <c r="AN490" s="574"/>
      <c r="AO490" s="454"/>
      <c r="AP490" s="454"/>
      <c r="AQ490" s="452"/>
      <c r="AR490" s="452"/>
      <c r="AS490" s="575"/>
      <c r="AT490" s="575"/>
      <c r="AU490" s="478"/>
      <c r="AV490" s="478"/>
      <c r="AW490" s="576"/>
      <c r="BB490" s="479">
        <v>1</v>
      </c>
      <c r="BC490" s="479" t="s">
        <v>733</v>
      </c>
    </row>
    <row r="491" spans="1:55" s="563" customFormat="1" ht="31.5" x14ac:dyDescent="0.25">
      <c r="A491" s="555">
        <v>63</v>
      </c>
      <c r="B491" s="577" t="s">
        <v>1503</v>
      </c>
      <c r="C491" s="557"/>
      <c r="D491" s="557"/>
      <c r="E491" s="557"/>
      <c r="F491" s="557"/>
      <c r="G491" s="493"/>
      <c r="H491" s="493"/>
      <c r="I491" s="558"/>
      <c r="J491" s="558"/>
      <c r="K491" s="558"/>
      <c r="L491" s="558"/>
      <c r="M491" s="558"/>
      <c r="N491" s="558"/>
      <c r="O491" s="558"/>
      <c r="P491" s="558"/>
      <c r="Q491" s="558"/>
      <c r="R491" s="558"/>
      <c r="S491" s="558"/>
      <c r="T491" s="558"/>
      <c r="U491" s="558"/>
      <c r="V491" s="558"/>
      <c r="W491" s="558"/>
      <c r="X491" s="559">
        <v>2000</v>
      </c>
      <c r="Y491" s="559">
        <v>1960</v>
      </c>
      <c r="Z491" s="559"/>
      <c r="AA491" s="559"/>
      <c r="AB491" s="559"/>
      <c r="AC491" s="493"/>
      <c r="AD491" s="493"/>
      <c r="AE491" s="493"/>
      <c r="AF491" s="493"/>
      <c r="AG491" s="493"/>
      <c r="AH491" s="493"/>
      <c r="AI491" s="493"/>
      <c r="AJ491" s="560"/>
      <c r="AK491" s="560">
        <f>IF(AN491-Y491&gt;0,AM491-Y491,0)</f>
        <v>0</v>
      </c>
      <c r="AL491" s="560">
        <f>IF(Y491-AN491&gt;0,Y491-AN491,0)</f>
        <v>1510</v>
      </c>
      <c r="AM491" s="578">
        <v>500</v>
      </c>
      <c r="AN491" s="562">
        <v>450</v>
      </c>
      <c r="AO491" s="560"/>
      <c r="AP491" s="560"/>
      <c r="AQ491" s="493">
        <v>900</v>
      </c>
      <c r="AR491" s="493"/>
      <c r="AS491" s="562">
        <v>1500</v>
      </c>
      <c r="AT491" s="562">
        <v>1350</v>
      </c>
      <c r="AU491" s="499"/>
      <c r="AV491" s="499"/>
      <c r="AW491" s="81"/>
      <c r="BB491" s="563">
        <v>1</v>
      </c>
      <c r="BC491" s="563">
        <v>2</v>
      </c>
    </row>
    <row r="492" spans="1:55" ht="26.25" customHeight="1" x14ac:dyDescent="0.25">
      <c r="A492" s="524">
        <v>64</v>
      </c>
      <c r="B492" s="505" t="s">
        <v>1504</v>
      </c>
      <c r="C492" s="450"/>
      <c r="D492" s="450"/>
      <c r="E492" s="450"/>
      <c r="F492" s="450"/>
      <c r="G492" s="452"/>
      <c r="H492" s="452"/>
      <c r="I492" s="492"/>
      <c r="J492" s="492"/>
      <c r="K492" s="492"/>
      <c r="L492" s="492"/>
      <c r="M492" s="492"/>
      <c r="N492" s="492"/>
      <c r="O492" s="492"/>
      <c r="P492" s="492"/>
      <c r="Q492" s="492"/>
      <c r="R492" s="492"/>
      <c r="S492" s="492"/>
      <c r="T492" s="492"/>
      <c r="U492" s="492"/>
      <c r="V492" s="492"/>
      <c r="W492" s="492"/>
      <c r="X492" s="453">
        <v>5000</v>
      </c>
      <c r="Y492" s="453">
        <v>4800</v>
      </c>
      <c r="Z492" s="453"/>
      <c r="AA492" s="453"/>
      <c r="AB492" s="453"/>
      <c r="AC492" s="452"/>
      <c r="AD492" s="452"/>
      <c r="AE492" s="452"/>
      <c r="AF492" s="452"/>
      <c r="AG492" s="452"/>
      <c r="AH492" s="452"/>
      <c r="AI492" s="452"/>
      <c r="AJ492" s="454"/>
      <c r="AK492" s="454">
        <f>IF(AN492-Y492&gt;0,AM492-Y492,0)</f>
        <v>0</v>
      </c>
      <c r="AL492" s="454">
        <f t="shared" ref="AL492:AL503" si="63">IF(Y492-AN492&gt;0,Y492-AN492,0)</f>
        <v>4350</v>
      </c>
      <c r="AM492" s="570">
        <v>778</v>
      </c>
      <c r="AN492" s="566">
        <v>450</v>
      </c>
      <c r="AO492" s="454"/>
      <c r="AP492" s="454"/>
      <c r="AQ492" s="452"/>
      <c r="AR492" s="452"/>
      <c r="AS492" s="566">
        <v>500</v>
      </c>
      <c r="AT492" s="566">
        <v>450</v>
      </c>
      <c r="AU492" s="495"/>
      <c r="AV492" s="495"/>
      <c r="AW492" s="74"/>
      <c r="AX492" s="119"/>
      <c r="BB492" s="119">
        <v>1</v>
      </c>
      <c r="BC492" s="119">
        <v>6</v>
      </c>
    </row>
    <row r="493" spans="1:55" s="563" customFormat="1" ht="31.5" x14ac:dyDescent="0.25">
      <c r="A493" s="555">
        <v>65</v>
      </c>
      <c r="B493" s="579" t="s">
        <v>1505</v>
      </c>
      <c r="C493" s="557"/>
      <c r="D493" s="557"/>
      <c r="E493" s="557"/>
      <c r="F493" s="557"/>
      <c r="G493" s="493"/>
      <c r="H493" s="493"/>
      <c r="I493" s="558"/>
      <c r="J493" s="558"/>
      <c r="K493" s="558"/>
      <c r="L493" s="558"/>
      <c r="M493" s="558"/>
      <c r="N493" s="558"/>
      <c r="O493" s="558"/>
      <c r="P493" s="558"/>
      <c r="Q493" s="558"/>
      <c r="R493" s="558"/>
      <c r="S493" s="558"/>
      <c r="T493" s="558"/>
      <c r="U493" s="558"/>
      <c r="V493" s="558"/>
      <c r="W493" s="558"/>
      <c r="X493" s="559">
        <v>1500</v>
      </c>
      <c r="Y493" s="559">
        <v>1100</v>
      </c>
      <c r="Z493" s="559"/>
      <c r="AA493" s="559"/>
      <c r="AB493" s="559"/>
      <c r="AC493" s="493"/>
      <c r="AD493" s="493"/>
      <c r="AE493" s="493"/>
      <c r="AF493" s="493"/>
      <c r="AG493" s="493"/>
      <c r="AH493" s="493"/>
      <c r="AI493" s="493"/>
      <c r="AJ493" s="560"/>
      <c r="AK493" s="560">
        <f>IF(AN493-Y493&gt;0,AM493-Y493,0)</f>
        <v>0</v>
      </c>
      <c r="AL493" s="560">
        <f t="shared" si="63"/>
        <v>100</v>
      </c>
      <c r="AM493" s="578">
        <v>1112</v>
      </c>
      <c r="AN493" s="562">
        <v>1000</v>
      </c>
      <c r="AO493" s="560"/>
      <c r="AP493" s="560"/>
      <c r="AQ493" s="493">
        <v>1180</v>
      </c>
      <c r="AR493" s="493"/>
      <c r="AS493" s="562">
        <v>1650</v>
      </c>
      <c r="AT493" s="562">
        <v>1500</v>
      </c>
      <c r="AU493" s="499"/>
      <c r="AV493" s="499"/>
      <c r="AW493" s="81"/>
      <c r="BB493" s="563">
        <v>1</v>
      </c>
      <c r="BC493" s="563">
        <v>6</v>
      </c>
    </row>
    <row r="494" spans="1:55" ht="31.5" x14ac:dyDescent="0.25">
      <c r="A494" s="524">
        <v>66</v>
      </c>
      <c r="B494" s="505" t="s">
        <v>1506</v>
      </c>
      <c r="C494" s="450"/>
      <c r="D494" s="450"/>
      <c r="E494" s="450"/>
      <c r="F494" s="450"/>
      <c r="G494" s="452"/>
      <c r="H494" s="452"/>
      <c r="I494" s="492"/>
      <c r="J494" s="492"/>
      <c r="K494" s="492"/>
      <c r="L494" s="492"/>
      <c r="M494" s="492"/>
      <c r="N494" s="492"/>
      <c r="O494" s="492"/>
      <c r="P494" s="492"/>
      <c r="Q494" s="492"/>
      <c r="R494" s="492"/>
      <c r="S494" s="492"/>
      <c r="T494" s="492"/>
      <c r="U494" s="492"/>
      <c r="V494" s="492"/>
      <c r="W494" s="492"/>
      <c r="X494" s="453"/>
      <c r="Y494" s="453"/>
      <c r="Z494" s="453"/>
      <c r="AA494" s="453"/>
      <c r="AB494" s="453"/>
      <c r="AC494" s="452"/>
      <c r="AD494" s="452"/>
      <c r="AE494" s="452"/>
      <c r="AF494" s="452"/>
      <c r="AG494" s="452"/>
      <c r="AH494" s="452"/>
      <c r="AI494" s="452"/>
      <c r="AJ494" s="454"/>
      <c r="AK494" s="454">
        <f>IF(AN494-Y494&gt;0,AN494-Y494,0)</f>
        <v>0</v>
      </c>
      <c r="AL494" s="454">
        <f t="shared" si="63"/>
        <v>0</v>
      </c>
      <c r="AM494" s="570">
        <v>2720</v>
      </c>
      <c r="AN494" s="566">
        <v>0</v>
      </c>
      <c r="AO494" s="454"/>
      <c r="AP494" s="454"/>
      <c r="AQ494" s="452"/>
      <c r="AR494" s="452"/>
      <c r="AS494" s="566">
        <v>0</v>
      </c>
      <c r="AT494" s="566">
        <v>0</v>
      </c>
      <c r="AU494" s="495"/>
      <c r="AV494" s="495"/>
      <c r="AW494" s="74"/>
      <c r="AX494" s="119"/>
      <c r="BB494" s="119">
        <v>1</v>
      </c>
      <c r="BC494" s="119">
        <v>1</v>
      </c>
    </row>
    <row r="495" spans="1:55" ht="31.5" x14ac:dyDescent="0.25">
      <c r="A495" s="524">
        <v>67</v>
      </c>
      <c r="B495" s="505" t="s">
        <v>1507</v>
      </c>
      <c r="C495" s="450"/>
      <c r="D495" s="450"/>
      <c r="E495" s="450"/>
      <c r="F495" s="450"/>
      <c r="G495" s="452"/>
      <c r="H495" s="452"/>
      <c r="I495" s="492"/>
      <c r="J495" s="492"/>
      <c r="K495" s="492"/>
      <c r="L495" s="492"/>
      <c r="M495" s="492"/>
      <c r="N495" s="492"/>
      <c r="O495" s="492"/>
      <c r="P495" s="492"/>
      <c r="Q495" s="492"/>
      <c r="R495" s="492"/>
      <c r="S495" s="492"/>
      <c r="T495" s="492"/>
      <c r="U495" s="492"/>
      <c r="V495" s="492"/>
      <c r="W495" s="492"/>
      <c r="X495" s="453"/>
      <c r="Y495" s="453"/>
      <c r="Z495" s="453"/>
      <c r="AA495" s="453"/>
      <c r="AB495" s="453"/>
      <c r="AC495" s="452"/>
      <c r="AD495" s="452"/>
      <c r="AE495" s="452"/>
      <c r="AF495" s="452"/>
      <c r="AG495" s="452"/>
      <c r="AH495" s="452"/>
      <c r="AI495" s="452"/>
      <c r="AJ495" s="454"/>
      <c r="AK495" s="454">
        <f t="shared" ref="AK495:AK503" si="64">IF(AN495-Y495&gt;0,AN495-Y495,0)</f>
        <v>1350</v>
      </c>
      <c r="AL495" s="454">
        <f t="shared" si="63"/>
        <v>0</v>
      </c>
      <c r="AM495" s="570">
        <v>1500</v>
      </c>
      <c r="AN495" s="566">
        <v>1350</v>
      </c>
      <c r="AO495" s="454"/>
      <c r="AP495" s="454"/>
      <c r="AQ495" s="452"/>
      <c r="AR495" s="452"/>
      <c r="AS495" s="562">
        <v>2230</v>
      </c>
      <c r="AT495" s="562">
        <v>2030</v>
      </c>
      <c r="AU495" s="495"/>
      <c r="AV495" s="495"/>
      <c r="AW495" s="74"/>
      <c r="AX495" s="119"/>
      <c r="BB495" s="119">
        <v>1</v>
      </c>
      <c r="BC495" s="119">
        <v>6</v>
      </c>
    </row>
    <row r="496" spans="1:55" s="563" customFormat="1" ht="31.5" x14ac:dyDescent="0.25">
      <c r="A496" s="555">
        <v>68</v>
      </c>
      <c r="B496" s="579" t="s">
        <v>1508</v>
      </c>
      <c r="C496" s="557"/>
      <c r="D496" s="557"/>
      <c r="E496" s="557"/>
      <c r="F496" s="557"/>
      <c r="G496" s="493"/>
      <c r="H496" s="493"/>
      <c r="I496" s="558"/>
      <c r="J496" s="558"/>
      <c r="K496" s="558"/>
      <c r="L496" s="558"/>
      <c r="M496" s="558"/>
      <c r="N496" s="558"/>
      <c r="O496" s="558"/>
      <c r="P496" s="558"/>
      <c r="Q496" s="558"/>
      <c r="R496" s="558"/>
      <c r="S496" s="558"/>
      <c r="T496" s="558"/>
      <c r="U496" s="558"/>
      <c r="V496" s="558"/>
      <c r="W496" s="558"/>
      <c r="X496" s="559"/>
      <c r="Y496" s="559"/>
      <c r="Z496" s="559"/>
      <c r="AA496" s="559"/>
      <c r="AB496" s="559"/>
      <c r="AC496" s="493"/>
      <c r="AD496" s="493"/>
      <c r="AE496" s="493"/>
      <c r="AF496" s="493"/>
      <c r="AG496" s="493"/>
      <c r="AH496" s="493"/>
      <c r="AI496" s="493"/>
      <c r="AJ496" s="560"/>
      <c r="AK496" s="560">
        <f t="shared" si="64"/>
        <v>450</v>
      </c>
      <c r="AL496" s="560">
        <f t="shared" si="63"/>
        <v>0</v>
      </c>
      <c r="AM496" s="578">
        <v>500</v>
      </c>
      <c r="AN496" s="562">
        <v>450</v>
      </c>
      <c r="AO496" s="560"/>
      <c r="AP496" s="560"/>
      <c r="AQ496" s="493">
        <v>900</v>
      </c>
      <c r="AR496" s="493"/>
      <c r="AS496" s="562">
        <v>1500</v>
      </c>
      <c r="AT496" s="562">
        <v>1350</v>
      </c>
      <c r="AU496" s="499"/>
      <c r="AV496" s="499"/>
      <c r="AW496" s="81"/>
      <c r="BB496" s="563">
        <v>1</v>
      </c>
      <c r="BC496" s="563">
        <v>6</v>
      </c>
    </row>
    <row r="497" spans="1:55" s="563" customFormat="1" ht="31.5" x14ac:dyDescent="0.25">
      <c r="A497" s="555">
        <v>69</v>
      </c>
      <c r="B497" s="579" t="s">
        <v>1509</v>
      </c>
      <c r="C497" s="557"/>
      <c r="D497" s="557"/>
      <c r="E497" s="557"/>
      <c r="F497" s="557"/>
      <c r="G497" s="493"/>
      <c r="H497" s="493"/>
      <c r="I497" s="558"/>
      <c r="J497" s="558"/>
      <c r="K497" s="558"/>
      <c r="L497" s="558"/>
      <c r="M497" s="558"/>
      <c r="N497" s="558"/>
      <c r="O497" s="558"/>
      <c r="P497" s="558"/>
      <c r="Q497" s="558"/>
      <c r="R497" s="558"/>
      <c r="S497" s="558"/>
      <c r="T497" s="558"/>
      <c r="U497" s="558"/>
      <c r="V497" s="558"/>
      <c r="W497" s="558"/>
      <c r="X497" s="559"/>
      <c r="Y497" s="559"/>
      <c r="Z497" s="559"/>
      <c r="AA497" s="559"/>
      <c r="AB497" s="559"/>
      <c r="AC497" s="493"/>
      <c r="AD497" s="493"/>
      <c r="AE497" s="493"/>
      <c r="AF497" s="493"/>
      <c r="AG497" s="493"/>
      <c r="AH497" s="493"/>
      <c r="AI497" s="493"/>
      <c r="AJ497" s="560"/>
      <c r="AK497" s="560">
        <f t="shared" si="64"/>
        <v>2200</v>
      </c>
      <c r="AL497" s="560">
        <f t="shared" si="63"/>
        <v>0</v>
      </c>
      <c r="AM497" s="578">
        <v>2445</v>
      </c>
      <c r="AN497" s="562">
        <v>2200</v>
      </c>
      <c r="AO497" s="560"/>
      <c r="AP497" s="560"/>
      <c r="AQ497" s="493">
        <v>1300</v>
      </c>
      <c r="AR497" s="493"/>
      <c r="AS497" s="562">
        <v>3880</v>
      </c>
      <c r="AT497" s="562">
        <v>3500</v>
      </c>
      <c r="AU497" s="499"/>
      <c r="AV497" s="499"/>
      <c r="AW497" s="81"/>
      <c r="BB497" s="563">
        <v>1</v>
      </c>
      <c r="BC497" s="563">
        <v>6</v>
      </c>
    </row>
    <row r="498" spans="1:55" x14ac:dyDescent="0.25">
      <c r="A498" s="524">
        <v>70</v>
      </c>
      <c r="B498" s="572" t="s">
        <v>1500</v>
      </c>
      <c r="C498" s="450"/>
      <c r="D498" s="450"/>
      <c r="E498" s="450"/>
      <c r="F498" s="450"/>
      <c r="G498" s="452"/>
      <c r="H498" s="452"/>
      <c r="I498" s="492"/>
      <c r="J498" s="492"/>
      <c r="K498" s="492"/>
      <c r="L498" s="492"/>
      <c r="M498" s="492"/>
      <c r="N498" s="492"/>
      <c r="O498" s="492"/>
      <c r="P498" s="492"/>
      <c r="Q498" s="492"/>
      <c r="R498" s="492"/>
      <c r="S498" s="492"/>
      <c r="T498" s="492"/>
      <c r="U498" s="492"/>
      <c r="V498" s="492"/>
      <c r="W498" s="492"/>
      <c r="X498" s="453"/>
      <c r="Y498" s="453"/>
      <c r="Z498" s="453"/>
      <c r="AA498" s="453"/>
      <c r="AB498" s="453"/>
      <c r="AC498" s="452"/>
      <c r="AD498" s="452"/>
      <c r="AE498" s="452"/>
      <c r="AF498" s="452"/>
      <c r="AG498" s="452"/>
      <c r="AH498" s="452"/>
      <c r="AI498" s="452"/>
      <c r="AJ498" s="454"/>
      <c r="AK498" s="454">
        <f t="shared" si="64"/>
        <v>0</v>
      </c>
      <c r="AL498" s="454">
        <f t="shared" si="63"/>
        <v>0</v>
      </c>
      <c r="AM498" s="570">
        <v>600</v>
      </c>
      <c r="AN498" s="566">
        <v>0</v>
      </c>
      <c r="AO498" s="454"/>
      <c r="AP498" s="454"/>
      <c r="AQ498" s="452"/>
      <c r="AR498" s="452"/>
      <c r="AS498" s="566"/>
      <c r="AT498" s="566">
        <v>0</v>
      </c>
      <c r="AU498" s="495"/>
      <c r="AV498" s="495"/>
      <c r="AW498" s="74"/>
      <c r="AX498" s="119"/>
      <c r="BB498" s="119">
        <v>1</v>
      </c>
      <c r="BC498" s="119">
        <v>6</v>
      </c>
    </row>
    <row r="499" spans="1:55" s="563" customFormat="1" ht="31.5" x14ac:dyDescent="0.25">
      <c r="A499" s="555">
        <v>71</v>
      </c>
      <c r="B499" s="579" t="s">
        <v>1510</v>
      </c>
      <c r="C499" s="557"/>
      <c r="D499" s="557"/>
      <c r="E499" s="557"/>
      <c r="F499" s="557"/>
      <c r="G499" s="493"/>
      <c r="H499" s="493"/>
      <c r="I499" s="558"/>
      <c r="J499" s="558"/>
      <c r="K499" s="558"/>
      <c r="L499" s="558"/>
      <c r="M499" s="558"/>
      <c r="N499" s="558"/>
      <c r="O499" s="558"/>
      <c r="P499" s="558"/>
      <c r="Q499" s="558"/>
      <c r="R499" s="558"/>
      <c r="S499" s="558"/>
      <c r="T499" s="558"/>
      <c r="U499" s="558"/>
      <c r="V499" s="558"/>
      <c r="W499" s="558"/>
      <c r="X499" s="559"/>
      <c r="Y499" s="559"/>
      <c r="Z499" s="559"/>
      <c r="AA499" s="559"/>
      <c r="AB499" s="559"/>
      <c r="AC499" s="493"/>
      <c r="AD499" s="493"/>
      <c r="AE499" s="493"/>
      <c r="AF499" s="493"/>
      <c r="AG499" s="493"/>
      <c r="AH499" s="493"/>
      <c r="AI499" s="493"/>
      <c r="AJ499" s="560"/>
      <c r="AK499" s="560">
        <f t="shared" si="64"/>
        <v>800</v>
      </c>
      <c r="AL499" s="560">
        <f t="shared" si="63"/>
        <v>0</v>
      </c>
      <c r="AM499" s="578">
        <v>889</v>
      </c>
      <c r="AN499" s="562">
        <v>800</v>
      </c>
      <c r="AO499" s="560"/>
      <c r="AP499" s="560"/>
      <c r="AQ499" s="493">
        <v>460</v>
      </c>
      <c r="AR499" s="493"/>
      <c r="AS499" s="562">
        <v>1400</v>
      </c>
      <c r="AT499" s="580">
        <v>1260</v>
      </c>
      <c r="AU499" s="499"/>
      <c r="AV499" s="499"/>
      <c r="AW499" s="81"/>
      <c r="BB499" s="563">
        <v>1</v>
      </c>
      <c r="BC499" s="563">
        <v>6</v>
      </c>
    </row>
    <row r="500" spans="1:55" s="563" customFormat="1" ht="31.5" x14ac:dyDescent="0.25">
      <c r="A500" s="555">
        <v>72</v>
      </c>
      <c r="B500" s="579" t="s">
        <v>1511</v>
      </c>
      <c r="C500" s="557"/>
      <c r="D500" s="557"/>
      <c r="E500" s="557"/>
      <c r="F500" s="557"/>
      <c r="G500" s="493"/>
      <c r="H500" s="493"/>
      <c r="I500" s="558"/>
      <c r="J500" s="558"/>
      <c r="K500" s="558"/>
      <c r="L500" s="558"/>
      <c r="M500" s="558"/>
      <c r="N500" s="558"/>
      <c r="O500" s="558"/>
      <c r="P500" s="558"/>
      <c r="Q500" s="558"/>
      <c r="R500" s="558"/>
      <c r="S500" s="558"/>
      <c r="T500" s="558"/>
      <c r="U500" s="558"/>
      <c r="V500" s="558"/>
      <c r="W500" s="558"/>
      <c r="X500" s="559"/>
      <c r="Y500" s="559"/>
      <c r="Z500" s="559"/>
      <c r="AA500" s="559"/>
      <c r="AB500" s="559"/>
      <c r="AC500" s="493"/>
      <c r="AD500" s="493"/>
      <c r="AE500" s="493"/>
      <c r="AF500" s="493"/>
      <c r="AG500" s="493"/>
      <c r="AH500" s="493"/>
      <c r="AI500" s="493"/>
      <c r="AJ500" s="560"/>
      <c r="AK500" s="560">
        <f t="shared" si="64"/>
        <v>225</v>
      </c>
      <c r="AL500" s="560">
        <f t="shared" si="63"/>
        <v>0</v>
      </c>
      <c r="AM500" s="578">
        <v>250</v>
      </c>
      <c r="AN500" s="562">
        <v>225</v>
      </c>
      <c r="AO500" s="560"/>
      <c r="AP500" s="560"/>
      <c r="AQ500" s="493">
        <v>1275</v>
      </c>
      <c r="AR500" s="493"/>
      <c r="AS500" s="562">
        <v>1650</v>
      </c>
      <c r="AT500" s="580">
        <v>1500</v>
      </c>
      <c r="AU500" s="499"/>
      <c r="AV500" s="499"/>
      <c r="AW500" s="81"/>
      <c r="BB500" s="563">
        <v>1</v>
      </c>
      <c r="BC500" s="563">
        <v>2</v>
      </c>
    </row>
    <row r="501" spans="1:55" s="563" customFormat="1" ht="31.5" x14ac:dyDescent="0.25">
      <c r="A501" s="555">
        <v>73</v>
      </c>
      <c r="B501" s="581" t="s">
        <v>1512</v>
      </c>
      <c r="C501" s="557"/>
      <c r="D501" s="557"/>
      <c r="E501" s="557"/>
      <c r="F501" s="557"/>
      <c r="G501" s="493"/>
      <c r="H501" s="493"/>
      <c r="I501" s="558"/>
      <c r="J501" s="558"/>
      <c r="K501" s="558"/>
      <c r="L501" s="558"/>
      <c r="M501" s="558"/>
      <c r="N501" s="558"/>
      <c r="O501" s="558"/>
      <c r="P501" s="558"/>
      <c r="Q501" s="558"/>
      <c r="R501" s="558"/>
      <c r="S501" s="558"/>
      <c r="T501" s="558"/>
      <c r="U501" s="558"/>
      <c r="V501" s="558"/>
      <c r="W501" s="558"/>
      <c r="X501" s="559"/>
      <c r="Y501" s="559"/>
      <c r="Z501" s="559"/>
      <c r="AA501" s="559"/>
      <c r="AB501" s="559"/>
      <c r="AC501" s="493"/>
      <c r="AD501" s="493"/>
      <c r="AE501" s="493"/>
      <c r="AF501" s="493"/>
      <c r="AG501" s="493"/>
      <c r="AH501" s="493"/>
      <c r="AI501" s="493"/>
      <c r="AJ501" s="560"/>
      <c r="AK501" s="560">
        <f t="shared" si="64"/>
        <v>450</v>
      </c>
      <c r="AL501" s="560">
        <f t="shared" si="63"/>
        <v>0</v>
      </c>
      <c r="AM501" s="578">
        <v>500</v>
      </c>
      <c r="AN501" s="562">
        <v>450</v>
      </c>
      <c r="AO501" s="560"/>
      <c r="AP501" s="560"/>
      <c r="AQ501" s="493">
        <v>900</v>
      </c>
      <c r="AR501" s="493"/>
      <c r="AS501" s="562">
        <v>1500</v>
      </c>
      <c r="AT501" s="580">
        <v>1350</v>
      </c>
      <c r="AU501" s="499"/>
      <c r="AV501" s="499"/>
      <c r="AW501" s="81"/>
    </row>
    <row r="502" spans="1:55" s="563" customFormat="1" ht="31.5" x14ac:dyDescent="0.25">
      <c r="A502" s="555">
        <v>74</v>
      </c>
      <c r="B502" s="581" t="s">
        <v>1513</v>
      </c>
      <c r="C502" s="557"/>
      <c r="D502" s="557"/>
      <c r="E502" s="557"/>
      <c r="F502" s="557"/>
      <c r="G502" s="493"/>
      <c r="H502" s="493"/>
      <c r="I502" s="558"/>
      <c r="J502" s="558"/>
      <c r="K502" s="558"/>
      <c r="L502" s="558"/>
      <c r="M502" s="558"/>
      <c r="N502" s="558"/>
      <c r="O502" s="558"/>
      <c r="P502" s="558"/>
      <c r="Q502" s="558"/>
      <c r="R502" s="558"/>
      <c r="S502" s="558"/>
      <c r="T502" s="558"/>
      <c r="U502" s="558"/>
      <c r="V502" s="558"/>
      <c r="W502" s="558"/>
      <c r="X502" s="559"/>
      <c r="Y502" s="559"/>
      <c r="Z502" s="559"/>
      <c r="AA502" s="559"/>
      <c r="AB502" s="559"/>
      <c r="AC502" s="493"/>
      <c r="AD502" s="493"/>
      <c r="AE502" s="493"/>
      <c r="AF502" s="493"/>
      <c r="AG502" s="493"/>
      <c r="AH502" s="493"/>
      <c r="AI502" s="493"/>
      <c r="AJ502" s="560"/>
      <c r="AK502" s="560">
        <f t="shared" si="64"/>
        <v>2800</v>
      </c>
      <c r="AL502" s="560">
        <f t="shared" si="63"/>
        <v>0</v>
      </c>
      <c r="AM502" s="578"/>
      <c r="AN502" s="562">
        <v>2800</v>
      </c>
      <c r="AO502" s="560"/>
      <c r="AP502" s="560"/>
      <c r="AQ502" s="493">
        <v>313</v>
      </c>
      <c r="AR502" s="493"/>
      <c r="AS502" s="582">
        <v>3113</v>
      </c>
      <c r="AT502" s="583">
        <v>3113</v>
      </c>
      <c r="AU502" s="499"/>
      <c r="AV502" s="499"/>
      <c r="AW502" s="81"/>
    </row>
    <row r="503" spans="1:55" s="563" customFormat="1" ht="31.5" x14ac:dyDescent="0.25">
      <c r="A503" s="555">
        <v>75</v>
      </c>
      <c r="B503" s="584" t="s">
        <v>1514</v>
      </c>
      <c r="C503" s="557"/>
      <c r="D503" s="557"/>
      <c r="E503" s="557"/>
      <c r="F503" s="557"/>
      <c r="G503" s="493"/>
      <c r="H503" s="493"/>
      <c r="I503" s="558"/>
      <c r="J503" s="558"/>
      <c r="K503" s="558"/>
      <c r="L503" s="558"/>
      <c r="M503" s="558"/>
      <c r="N503" s="558"/>
      <c r="O503" s="558"/>
      <c r="P503" s="558"/>
      <c r="Q503" s="558"/>
      <c r="R503" s="558"/>
      <c r="S503" s="558"/>
      <c r="T503" s="558"/>
      <c r="U503" s="558"/>
      <c r="V503" s="558"/>
      <c r="W503" s="558"/>
      <c r="X503" s="559"/>
      <c r="Y503" s="559"/>
      <c r="Z503" s="559"/>
      <c r="AA503" s="559"/>
      <c r="AB503" s="559"/>
      <c r="AC503" s="493"/>
      <c r="AD503" s="493"/>
      <c r="AE503" s="493"/>
      <c r="AF503" s="493"/>
      <c r="AG503" s="493"/>
      <c r="AH503" s="493"/>
      <c r="AI503" s="493"/>
      <c r="AJ503" s="560"/>
      <c r="AK503" s="560">
        <f t="shared" si="64"/>
        <v>2810</v>
      </c>
      <c r="AL503" s="560">
        <f t="shared" si="63"/>
        <v>0</v>
      </c>
      <c r="AM503" s="585"/>
      <c r="AN503" s="580">
        <v>2810</v>
      </c>
      <c r="AO503" s="560"/>
      <c r="AP503" s="560"/>
      <c r="AQ503" s="493">
        <v>322</v>
      </c>
      <c r="AR503" s="493"/>
      <c r="AS503" s="583">
        <v>3133</v>
      </c>
      <c r="AT503" s="583">
        <v>3132</v>
      </c>
      <c r="AU503" s="499"/>
      <c r="AV503" s="499"/>
      <c r="AW503" s="81"/>
    </row>
    <row r="504" spans="1:55" s="563" customFormat="1" ht="31.5" x14ac:dyDescent="0.25">
      <c r="A504" s="555">
        <v>76</v>
      </c>
      <c r="B504" s="584" t="s">
        <v>1515</v>
      </c>
      <c r="C504" s="557"/>
      <c r="D504" s="557"/>
      <c r="E504" s="557"/>
      <c r="F504" s="557"/>
      <c r="G504" s="493"/>
      <c r="H504" s="493"/>
      <c r="I504" s="558"/>
      <c r="J504" s="558"/>
      <c r="K504" s="558"/>
      <c r="L504" s="558"/>
      <c r="M504" s="558"/>
      <c r="N504" s="558"/>
      <c r="O504" s="558"/>
      <c r="P504" s="558"/>
      <c r="Q504" s="558"/>
      <c r="R504" s="558"/>
      <c r="S504" s="558"/>
      <c r="T504" s="558"/>
      <c r="U504" s="558"/>
      <c r="V504" s="558"/>
      <c r="W504" s="558"/>
      <c r="X504" s="559"/>
      <c r="Y504" s="559"/>
      <c r="Z504" s="559"/>
      <c r="AA504" s="559"/>
      <c r="AB504" s="559"/>
      <c r="AC504" s="493"/>
      <c r="AD504" s="493"/>
      <c r="AE504" s="493"/>
      <c r="AF504" s="493"/>
      <c r="AG504" s="493"/>
      <c r="AH504" s="493"/>
      <c r="AI504" s="493"/>
      <c r="AJ504" s="560"/>
      <c r="AK504" s="560"/>
      <c r="AL504" s="560"/>
      <c r="AM504" s="585"/>
      <c r="AN504" s="580">
        <v>430</v>
      </c>
      <c r="AO504" s="560"/>
      <c r="AP504" s="560"/>
      <c r="AQ504" s="493">
        <v>650</v>
      </c>
      <c r="AR504" s="493"/>
      <c r="AS504" s="580">
        <v>470</v>
      </c>
      <c r="AT504" s="580">
        <v>1080</v>
      </c>
      <c r="AU504" s="499"/>
      <c r="AV504" s="499"/>
      <c r="AW504" s="81"/>
    </row>
    <row r="505" spans="1:55" s="563" customFormat="1" ht="31.5" x14ac:dyDescent="0.25">
      <c r="A505" s="555">
        <v>77</v>
      </c>
      <c r="B505" s="584" t="s">
        <v>1516</v>
      </c>
      <c r="C505" s="557"/>
      <c r="D505" s="557"/>
      <c r="E505" s="557"/>
      <c r="F505" s="557"/>
      <c r="G505" s="493"/>
      <c r="H505" s="493"/>
      <c r="I505" s="558"/>
      <c r="J505" s="558"/>
      <c r="K505" s="558"/>
      <c r="L505" s="558"/>
      <c r="M505" s="558"/>
      <c r="N505" s="558"/>
      <c r="O505" s="558"/>
      <c r="P505" s="558"/>
      <c r="Q505" s="558"/>
      <c r="R505" s="558"/>
      <c r="S505" s="558"/>
      <c r="T505" s="558"/>
      <c r="U505" s="558"/>
      <c r="V505" s="558"/>
      <c r="W505" s="558"/>
      <c r="X505" s="559"/>
      <c r="Y505" s="559"/>
      <c r="Z505" s="559"/>
      <c r="AA505" s="559"/>
      <c r="AB505" s="559"/>
      <c r="AC505" s="493"/>
      <c r="AD505" s="493"/>
      <c r="AE505" s="493"/>
      <c r="AF505" s="493"/>
      <c r="AG505" s="493"/>
      <c r="AH505" s="493"/>
      <c r="AI505" s="493"/>
      <c r="AJ505" s="560"/>
      <c r="AK505" s="560"/>
      <c r="AL505" s="560"/>
      <c r="AM505" s="585"/>
      <c r="AN505" s="580">
        <v>2000</v>
      </c>
      <c r="AO505" s="560"/>
      <c r="AP505" s="560"/>
      <c r="AQ505" s="493">
        <v>250</v>
      </c>
      <c r="AR505" s="493"/>
      <c r="AS505" s="580">
        <v>2020</v>
      </c>
      <c r="AT505" s="580">
        <v>2250</v>
      </c>
      <c r="AU505" s="499"/>
      <c r="AV505" s="499"/>
      <c r="AW505" s="81"/>
    </row>
    <row r="506" spans="1:55" x14ac:dyDescent="0.25">
      <c r="A506" s="448"/>
      <c r="B506" s="449"/>
      <c r="C506" s="450"/>
      <c r="D506" s="450"/>
      <c r="E506" s="450"/>
      <c r="F506" s="450"/>
      <c r="G506" s="452"/>
      <c r="H506" s="452"/>
      <c r="I506" s="492"/>
      <c r="J506" s="492"/>
      <c r="K506" s="492"/>
      <c r="L506" s="492"/>
      <c r="M506" s="492"/>
      <c r="N506" s="492"/>
      <c r="O506" s="492"/>
      <c r="P506" s="492"/>
      <c r="Q506" s="492"/>
      <c r="R506" s="492"/>
      <c r="S506" s="492"/>
      <c r="T506" s="492"/>
      <c r="U506" s="492"/>
      <c r="V506" s="492"/>
      <c r="W506" s="492"/>
      <c r="X506" s="453"/>
      <c r="Y506" s="453"/>
      <c r="Z506" s="453"/>
      <c r="AA506" s="453"/>
      <c r="AB506" s="453"/>
      <c r="AC506" s="452"/>
      <c r="AD506" s="452"/>
      <c r="AE506" s="452"/>
      <c r="AF506" s="452"/>
      <c r="AG506" s="452"/>
      <c r="AH506" s="452"/>
      <c r="AI506" s="452"/>
      <c r="AJ506" s="454"/>
      <c r="AK506" s="454"/>
      <c r="AL506" s="454"/>
      <c r="AM506" s="453"/>
      <c r="AN506" s="453"/>
      <c r="AO506" s="454"/>
      <c r="AP506" s="454"/>
      <c r="AQ506" s="452"/>
      <c r="AR506" s="452"/>
      <c r="AS506" s="497"/>
      <c r="AT506" s="497"/>
      <c r="AU506" s="495"/>
      <c r="AV506" s="495"/>
      <c r="AW506" s="148"/>
      <c r="AX506" s="119"/>
    </row>
    <row r="507" spans="1:55" ht="35.25" customHeight="1" x14ac:dyDescent="0.25">
      <c r="A507" s="426" t="s">
        <v>714</v>
      </c>
      <c r="B507" s="427" t="s">
        <v>88</v>
      </c>
      <c r="C507" s="464"/>
      <c r="D507" s="464"/>
      <c r="E507" s="464"/>
      <c r="F507" s="464"/>
      <c r="G507" s="465">
        <f>+G508+G509</f>
        <v>33132.542999999998</v>
      </c>
      <c r="H507" s="465">
        <f t="shared" ref="H507:AV507" si="65">+H508+H509</f>
        <v>4702.3189999999995</v>
      </c>
      <c r="I507" s="465">
        <f t="shared" si="65"/>
        <v>0</v>
      </c>
      <c r="J507" s="465">
        <f t="shared" si="65"/>
        <v>0</v>
      </c>
      <c r="K507" s="465">
        <f t="shared" si="65"/>
        <v>0</v>
      </c>
      <c r="L507" s="465">
        <f t="shared" si="65"/>
        <v>13910.038</v>
      </c>
      <c r="M507" s="465">
        <f t="shared" si="65"/>
        <v>1252.319</v>
      </c>
      <c r="N507" s="465">
        <f t="shared" si="65"/>
        <v>10110.038</v>
      </c>
      <c r="O507" s="465">
        <f t="shared" si="65"/>
        <v>610.03800000000001</v>
      </c>
      <c r="P507" s="465">
        <f t="shared" si="65"/>
        <v>0</v>
      </c>
      <c r="Q507" s="465">
        <f t="shared" si="65"/>
        <v>0</v>
      </c>
      <c r="R507" s="465">
        <f t="shared" si="65"/>
        <v>0</v>
      </c>
      <c r="S507" s="465">
        <f t="shared" si="65"/>
        <v>0</v>
      </c>
      <c r="T507" s="465">
        <f t="shared" si="65"/>
        <v>0</v>
      </c>
      <c r="U507" s="465">
        <f t="shared" si="65"/>
        <v>0</v>
      </c>
      <c r="V507" s="465">
        <f t="shared" si="65"/>
        <v>0</v>
      </c>
      <c r="W507" s="465">
        <f t="shared" si="65"/>
        <v>0</v>
      </c>
      <c r="X507" s="465">
        <f>+X508+X509</f>
        <v>111487.181</v>
      </c>
      <c r="Y507" s="465">
        <f>+Y508+Y509</f>
        <v>93100</v>
      </c>
      <c r="Z507" s="465">
        <f t="shared" si="65"/>
        <v>0</v>
      </c>
      <c r="AA507" s="465">
        <f t="shared" si="65"/>
        <v>0</v>
      </c>
      <c r="AB507" s="465">
        <f t="shared" si="65"/>
        <v>0</v>
      </c>
      <c r="AC507" s="465">
        <f t="shared" si="65"/>
        <v>0</v>
      </c>
      <c r="AD507" s="465">
        <f t="shared" si="65"/>
        <v>17703.181</v>
      </c>
      <c r="AE507" s="465">
        <f t="shared" si="65"/>
        <v>3450</v>
      </c>
      <c r="AF507" s="465">
        <f t="shared" si="65"/>
        <v>0</v>
      </c>
      <c r="AG507" s="465">
        <f t="shared" si="65"/>
        <v>0</v>
      </c>
      <c r="AH507" s="465">
        <f t="shared" si="65"/>
        <v>10434</v>
      </c>
      <c r="AI507" s="465">
        <f t="shared" si="65"/>
        <v>9584</v>
      </c>
      <c r="AJ507" s="465">
        <f t="shared" si="65"/>
        <v>0</v>
      </c>
      <c r="AK507" s="465">
        <f>+AK508+AK509</f>
        <v>12865</v>
      </c>
      <c r="AL507" s="465">
        <f t="shared" si="65"/>
        <v>12865</v>
      </c>
      <c r="AM507" s="466">
        <f t="shared" si="65"/>
        <v>111487</v>
      </c>
      <c r="AN507" s="466">
        <f t="shared" si="65"/>
        <v>93100</v>
      </c>
      <c r="AO507" s="466">
        <f t="shared" si="65"/>
        <v>0</v>
      </c>
      <c r="AP507" s="466">
        <f t="shared" si="65"/>
        <v>0</v>
      </c>
      <c r="AQ507" s="467">
        <f t="shared" si="65"/>
        <v>0</v>
      </c>
      <c r="AR507" s="467">
        <f t="shared" si="65"/>
        <v>0</v>
      </c>
      <c r="AS507" s="467">
        <f t="shared" si="65"/>
        <v>111487</v>
      </c>
      <c r="AT507" s="467">
        <f t="shared" si="65"/>
        <v>93100</v>
      </c>
      <c r="AU507" s="466">
        <f t="shared" si="65"/>
        <v>0</v>
      </c>
      <c r="AV507" s="466">
        <f t="shared" si="65"/>
        <v>0</v>
      </c>
      <c r="AW507" s="148"/>
      <c r="AX507" s="119"/>
    </row>
    <row r="508" spans="1:55" ht="47.25" x14ac:dyDescent="0.25">
      <c r="A508" s="469" t="s">
        <v>730</v>
      </c>
      <c r="B508" s="470" t="s">
        <v>731</v>
      </c>
      <c r="C508" s="471"/>
      <c r="D508" s="471"/>
      <c r="E508" s="471"/>
      <c r="F508" s="471"/>
      <c r="G508" s="472">
        <v>33132.542999999998</v>
      </c>
      <c r="H508" s="472">
        <f>+M508+Y508</f>
        <v>4702.3189999999995</v>
      </c>
      <c r="I508" s="473"/>
      <c r="J508" s="473"/>
      <c r="K508" s="473"/>
      <c r="L508" s="473">
        <v>13910.038</v>
      </c>
      <c r="M508" s="473">
        <v>1252.319</v>
      </c>
      <c r="N508" s="473">
        <v>10110.038</v>
      </c>
      <c r="O508" s="473">
        <v>610.03800000000001</v>
      </c>
      <c r="P508" s="473"/>
      <c r="Q508" s="473"/>
      <c r="R508" s="473"/>
      <c r="S508" s="473"/>
      <c r="T508" s="473"/>
      <c r="U508" s="473"/>
      <c r="V508" s="473"/>
      <c r="W508" s="473"/>
      <c r="X508" s="474">
        <v>18553.181</v>
      </c>
      <c r="Y508" s="474">
        <v>3450</v>
      </c>
      <c r="Z508" s="474">
        <v>0</v>
      </c>
      <c r="AA508" s="474">
        <v>0</v>
      </c>
      <c r="AB508" s="474"/>
      <c r="AC508" s="472"/>
      <c r="AD508" s="472">
        <v>17703.181</v>
      </c>
      <c r="AE508" s="472">
        <v>3450</v>
      </c>
      <c r="AF508" s="472"/>
      <c r="AG508" s="472"/>
      <c r="AH508" s="472">
        <v>850</v>
      </c>
      <c r="AI508" s="472">
        <v>0</v>
      </c>
      <c r="AJ508" s="475">
        <v>0</v>
      </c>
      <c r="AK508" s="475">
        <f>IF(AN508-Y508&gt;0,AM508-Y508,0)</f>
        <v>0</v>
      </c>
      <c r="AL508" s="475">
        <f>IF(Y508-AN508&gt;0,Y508-AN508,0)</f>
        <v>0</v>
      </c>
      <c r="AM508" s="474">
        <v>18553</v>
      </c>
      <c r="AN508" s="474">
        <v>3450</v>
      </c>
      <c r="AO508" s="475"/>
      <c r="AP508" s="475"/>
      <c r="AQ508" s="472"/>
      <c r="AR508" s="472"/>
      <c r="AS508" s="528">
        <v>18553</v>
      </c>
      <c r="AT508" s="528">
        <v>3450</v>
      </c>
      <c r="AU508" s="495"/>
      <c r="AV508" s="495"/>
      <c r="AW508" s="148"/>
      <c r="AX508" s="119"/>
    </row>
    <row r="509" spans="1:55" ht="31.5" x14ac:dyDescent="0.25">
      <c r="A509" s="469" t="s">
        <v>730</v>
      </c>
      <c r="B509" s="470" t="s">
        <v>1517</v>
      </c>
      <c r="C509" s="471"/>
      <c r="D509" s="471"/>
      <c r="E509" s="471"/>
      <c r="F509" s="471"/>
      <c r="G509" s="472">
        <f t="shared" ref="G509:W509" si="66">+SUM(G510:G536)</f>
        <v>0</v>
      </c>
      <c r="H509" s="472">
        <f t="shared" si="66"/>
        <v>0</v>
      </c>
      <c r="I509" s="472">
        <f t="shared" si="66"/>
        <v>0</v>
      </c>
      <c r="J509" s="472">
        <f t="shared" si="66"/>
        <v>0</v>
      </c>
      <c r="K509" s="472">
        <f t="shared" si="66"/>
        <v>0</v>
      </c>
      <c r="L509" s="472">
        <f t="shared" si="66"/>
        <v>0</v>
      </c>
      <c r="M509" s="472">
        <f t="shared" si="66"/>
        <v>0</v>
      </c>
      <c r="N509" s="472">
        <f t="shared" si="66"/>
        <v>0</v>
      </c>
      <c r="O509" s="472">
        <f t="shared" si="66"/>
        <v>0</v>
      </c>
      <c r="P509" s="472">
        <f t="shared" si="66"/>
        <v>0</v>
      </c>
      <c r="Q509" s="472">
        <f t="shared" si="66"/>
        <v>0</v>
      </c>
      <c r="R509" s="472">
        <f t="shared" si="66"/>
        <v>0</v>
      </c>
      <c r="S509" s="472">
        <f t="shared" si="66"/>
        <v>0</v>
      </c>
      <c r="T509" s="472">
        <f t="shared" si="66"/>
        <v>0</v>
      </c>
      <c r="U509" s="472">
        <f t="shared" si="66"/>
        <v>0</v>
      </c>
      <c r="V509" s="472">
        <f t="shared" si="66"/>
        <v>0</v>
      </c>
      <c r="W509" s="472">
        <f t="shared" si="66"/>
        <v>0</v>
      </c>
      <c r="X509" s="472">
        <f>+SUM(X510:X543)</f>
        <v>92934</v>
      </c>
      <c r="Y509" s="472">
        <f>+SUM(Y510:Y543)</f>
        <v>89650</v>
      </c>
      <c r="Z509" s="472">
        <f t="shared" ref="Z509:AJ509" si="67">+SUM(Z510:Z539)</f>
        <v>0</v>
      </c>
      <c r="AA509" s="472">
        <f t="shared" si="67"/>
        <v>0</v>
      </c>
      <c r="AB509" s="472">
        <f t="shared" si="67"/>
        <v>0</v>
      </c>
      <c r="AC509" s="472">
        <f t="shared" si="67"/>
        <v>0</v>
      </c>
      <c r="AD509" s="472">
        <f t="shared" si="67"/>
        <v>0</v>
      </c>
      <c r="AE509" s="472">
        <f t="shared" si="67"/>
        <v>0</v>
      </c>
      <c r="AF509" s="472">
        <f t="shared" si="67"/>
        <v>0</v>
      </c>
      <c r="AG509" s="472">
        <f t="shared" si="67"/>
        <v>0</v>
      </c>
      <c r="AH509" s="472">
        <f t="shared" si="67"/>
        <v>9584</v>
      </c>
      <c r="AI509" s="472">
        <f t="shared" si="67"/>
        <v>9584</v>
      </c>
      <c r="AJ509" s="472">
        <f t="shared" si="67"/>
        <v>0</v>
      </c>
      <c r="AK509" s="472">
        <f>+SUM(AK510:AK543)</f>
        <v>12865</v>
      </c>
      <c r="AL509" s="472">
        <f>+SUM(AL510:AL543)</f>
        <v>12865</v>
      </c>
      <c r="AM509" s="490">
        <f t="shared" ref="AM509:AV509" si="68">+SUM(AM510:AM538)-AM520</f>
        <v>92934</v>
      </c>
      <c r="AN509" s="490">
        <f t="shared" si="68"/>
        <v>89650</v>
      </c>
      <c r="AO509" s="490">
        <f t="shared" si="68"/>
        <v>0</v>
      </c>
      <c r="AP509" s="490">
        <f t="shared" si="68"/>
        <v>0</v>
      </c>
      <c r="AQ509" s="477">
        <f t="shared" si="68"/>
        <v>0</v>
      </c>
      <c r="AR509" s="477">
        <f t="shared" si="68"/>
        <v>0</v>
      </c>
      <c r="AS509" s="477">
        <f t="shared" si="68"/>
        <v>92934</v>
      </c>
      <c r="AT509" s="477">
        <f t="shared" si="68"/>
        <v>89650</v>
      </c>
      <c r="AU509" s="490">
        <f t="shared" si="68"/>
        <v>0</v>
      </c>
      <c r="AV509" s="490">
        <f t="shared" si="68"/>
        <v>0</v>
      </c>
      <c r="AW509" s="148"/>
      <c r="AX509" s="119"/>
    </row>
    <row r="510" spans="1:55" ht="47.25" x14ac:dyDescent="0.25">
      <c r="A510" s="448">
        <v>1</v>
      </c>
      <c r="B510" s="449" t="s">
        <v>1518</v>
      </c>
      <c r="C510" s="450" t="s">
        <v>1519</v>
      </c>
      <c r="D510" s="450"/>
      <c r="E510" s="450" t="s">
        <v>55</v>
      </c>
      <c r="F510" s="450"/>
      <c r="G510" s="452"/>
      <c r="H510" s="452"/>
      <c r="I510" s="492"/>
      <c r="J510" s="492"/>
      <c r="K510" s="492"/>
      <c r="L510" s="492"/>
      <c r="M510" s="492"/>
      <c r="N510" s="492"/>
      <c r="O510" s="492"/>
      <c r="P510" s="492"/>
      <c r="Q510" s="492"/>
      <c r="R510" s="492"/>
      <c r="S510" s="492"/>
      <c r="T510" s="492"/>
      <c r="U510" s="492"/>
      <c r="V510" s="492"/>
      <c r="W510" s="492"/>
      <c r="X510" s="453">
        <v>2700</v>
      </c>
      <c r="Y510" s="453">
        <v>2673</v>
      </c>
      <c r="Z510" s="453"/>
      <c r="AA510" s="453"/>
      <c r="AB510" s="453"/>
      <c r="AC510" s="452"/>
      <c r="AD510" s="452"/>
      <c r="AE510" s="452"/>
      <c r="AF510" s="452"/>
      <c r="AG510" s="452"/>
      <c r="AH510" s="452">
        <v>1100</v>
      </c>
      <c r="AI510" s="452">
        <v>1100</v>
      </c>
      <c r="AJ510" s="454"/>
      <c r="AK510" s="454">
        <f>IF(AN510-Y510&gt;0,AM510-Y510,0)</f>
        <v>0</v>
      </c>
      <c r="AL510" s="454">
        <f>IF(Y510-AN510&gt;0,Y510-AN510,0)</f>
        <v>429</v>
      </c>
      <c r="AM510" s="453">
        <v>2271</v>
      </c>
      <c r="AN510" s="453">
        <v>2244</v>
      </c>
      <c r="AO510" s="454"/>
      <c r="AP510" s="454"/>
      <c r="AQ510" s="452"/>
      <c r="AR510" s="452"/>
      <c r="AS510" s="497">
        <v>2271</v>
      </c>
      <c r="AT510" s="497">
        <v>2244</v>
      </c>
      <c r="AU510" s="495"/>
      <c r="AV510" s="495"/>
      <c r="AW510" s="148"/>
      <c r="AX510" s="119"/>
      <c r="BB510" s="119">
        <v>1</v>
      </c>
      <c r="BC510" s="119">
        <v>6</v>
      </c>
    </row>
    <row r="511" spans="1:55" ht="31.5" x14ac:dyDescent="0.25">
      <c r="A511" s="448">
        <v>2</v>
      </c>
      <c r="B511" s="449" t="s">
        <v>1520</v>
      </c>
      <c r="C511" s="450" t="s">
        <v>1521</v>
      </c>
      <c r="D511" s="450"/>
      <c r="E511" s="450" t="s">
        <v>55</v>
      </c>
      <c r="F511" s="450"/>
      <c r="G511" s="452"/>
      <c r="H511" s="452"/>
      <c r="I511" s="492"/>
      <c r="J511" s="492"/>
      <c r="K511" s="492"/>
      <c r="L511" s="492"/>
      <c r="M511" s="492"/>
      <c r="N511" s="492"/>
      <c r="O511" s="492"/>
      <c r="P511" s="492"/>
      <c r="Q511" s="492"/>
      <c r="R511" s="492"/>
      <c r="S511" s="492"/>
      <c r="T511" s="492"/>
      <c r="U511" s="492"/>
      <c r="V511" s="492"/>
      <c r="W511" s="492"/>
      <c r="X511" s="453">
        <v>1980</v>
      </c>
      <c r="Y511" s="453">
        <v>1960</v>
      </c>
      <c r="Z511" s="453"/>
      <c r="AA511" s="453"/>
      <c r="AB511" s="453"/>
      <c r="AC511" s="452"/>
      <c r="AD511" s="452"/>
      <c r="AE511" s="452"/>
      <c r="AF511" s="452"/>
      <c r="AG511" s="452"/>
      <c r="AH511" s="452">
        <v>800</v>
      </c>
      <c r="AI511" s="452">
        <v>800</v>
      </c>
      <c r="AJ511" s="454"/>
      <c r="AK511" s="454">
        <f>IF(AN511-Y511&gt;0,AM511-Y511,0)</f>
        <v>0</v>
      </c>
      <c r="AL511" s="454">
        <f>IF(Y511-AN511&gt;0,Y511-AN511,0)</f>
        <v>0</v>
      </c>
      <c r="AM511" s="453">
        <v>1980</v>
      </c>
      <c r="AN511" s="453">
        <v>1960</v>
      </c>
      <c r="AO511" s="454"/>
      <c r="AP511" s="454"/>
      <c r="AQ511" s="452"/>
      <c r="AR511" s="452"/>
      <c r="AS511" s="497">
        <v>1980</v>
      </c>
      <c r="AT511" s="497">
        <v>1960</v>
      </c>
      <c r="AU511" s="495"/>
      <c r="AV511" s="495"/>
      <c r="AW511" s="148"/>
      <c r="AX511" s="119"/>
      <c r="BB511" s="119">
        <v>1</v>
      </c>
      <c r="BC511" s="119">
        <v>6</v>
      </c>
    </row>
    <row r="512" spans="1:55" ht="47.25" x14ac:dyDescent="0.25">
      <c r="A512" s="448">
        <v>3</v>
      </c>
      <c r="B512" s="449" t="s">
        <v>1522</v>
      </c>
      <c r="C512" s="450" t="s">
        <v>1523</v>
      </c>
      <c r="D512" s="450"/>
      <c r="E512" s="450" t="s">
        <v>55</v>
      </c>
      <c r="F512" s="450"/>
      <c r="G512" s="452"/>
      <c r="H512" s="452"/>
      <c r="I512" s="492"/>
      <c r="J512" s="492"/>
      <c r="K512" s="492"/>
      <c r="L512" s="492"/>
      <c r="M512" s="492"/>
      <c r="N512" s="492"/>
      <c r="O512" s="492"/>
      <c r="P512" s="492"/>
      <c r="Q512" s="492"/>
      <c r="R512" s="492"/>
      <c r="S512" s="492"/>
      <c r="T512" s="492"/>
      <c r="U512" s="492"/>
      <c r="V512" s="492"/>
      <c r="W512" s="492"/>
      <c r="X512" s="453">
        <v>3000</v>
      </c>
      <c r="Y512" s="453">
        <v>2970</v>
      </c>
      <c r="Z512" s="453"/>
      <c r="AA512" s="453"/>
      <c r="AB512" s="453"/>
      <c r="AC512" s="452"/>
      <c r="AD512" s="452"/>
      <c r="AE512" s="452"/>
      <c r="AF512" s="452"/>
      <c r="AG512" s="452"/>
      <c r="AH512" s="452">
        <v>1200</v>
      </c>
      <c r="AI512" s="452">
        <v>1200</v>
      </c>
      <c r="AJ512" s="454"/>
      <c r="AK512" s="454">
        <f t="shared" ref="AK512:AK519" si="69">IF(AN512-Y512&gt;0,AM512-Y512,0)</f>
        <v>0</v>
      </c>
      <c r="AL512" s="454">
        <f t="shared" ref="AL512:AL529" si="70">IF(Y512-AN512&gt;0,Y512-AN512,0)</f>
        <v>0</v>
      </c>
      <c r="AM512" s="453">
        <v>3000</v>
      </c>
      <c r="AN512" s="453">
        <v>2970</v>
      </c>
      <c r="AO512" s="454"/>
      <c r="AP512" s="454"/>
      <c r="AQ512" s="452"/>
      <c r="AR512" s="452"/>
      <c r="AS512" s="497">
        <v>3000</v>
      </c>
      <c r="AT512" s="497">
        <v>2970</v>
      </c>
      <c r="AU512" s="495"/>
      <c r="AV512" s="495"/>
      <c r="AW512" s="148"/>
      <c r="AX512" s="119"/>
      <c r="BB512" s="119">
        <v>1</v>
      </c>
      <c r="BC512" s="119">
        <v>6</v>
      </c>
    </row>
    <row r="513" spans="1:55" ht="47.25" x14ac:dyDescent="0.25">
      <c r="A513" s="448">
        <v>4</v>
      </c>
      <c r="B513" s="449" t="s">
        <v>1524</v>
      </c>
      <c r="C513" s="450" t="s">
        <v>1525</v>
      </c>
      <c r="D513" s="450"/>
      <c r="E513" s="450" t="s">
        <v>55</v>
      </c>
      <c r="F513" s="450"/>
      <c r="G513" s="452"/>
      <c r="H513" s="452"/>
      <c r="I513" s="492"/>
      <c r="J513" s="492"/>
      <c r="K513" s="492"/>
      <c r="L513" s="492"/>
      <c r="M513" s="492"/>
      <c r="N513" s="492"/>
      <c r="O513" s="492"/>
      <c r="P513" s="492"/>
      <c r="Q513" s="492"/>
      <c r="R513" s="492"/>
      <c r="S513" s="492"/>
      <c r="T513" s="492"/>
      <c r="U513" s="492"/>
      <c r="V513" s="492"/>
      <c r="W513" s="492"/>
      <c r="X513" s="453">
        <v>2950</v>
      </c>
      <c r="Y513" s="453">
        <v>2920</v>
      </c>
      <c r="Z513" s="453"/>
      <c r="AA513" s="453"/>
      <c r="AB513" s="453"/>
      <c r="AC513" s="452"/>
      <c r="AD513" s="452"/>
      <c r="AE513" s="452"/>
      <c r="AF513" s="452"/>
      <c r="AG513" s="452"/>
      <c r="AH513" s="452">
        <v>1200</v>
      </c>
      <c r="AI513" s="452">
        <v>1200</v>
      </c>
      <c r="AJ513" s="454"/>
      <c r="AK513" s="454">
        <v>1</v>
      </c>
      <c r="AL513" s="454">
        <f t="shared" si="70"/>
        <v>0</v>
      </c>
      <c r="AM513" s="453">
        <v>2950</v>
      </c>
      <c r="AN513" s="453">
        <v>2921</v>
      </c>
      <c r="AO513" s="454"/>
      <c r="AP513" s="454"/>
      <c r="AQ513" s="452"/>
      <c r="AR513" s="452"/>
      <c r="AS513" s="497">
        <v>2950</v>
      </c>
      <c r="AT513" s="497">
        <v>2921</v>
      </c>
      <c r="AU513" s="495"/>
      <c r="AV513" s="495"/>
      <c r="AW513" s="148"/>
      <c r="AX513" s="119"/>
      <c r="BB513" s="119">
        <v>1</v>
      </c>
      <c r="BC513" s="119">
        <v>6</v>
      </c>
    </row>
    <row r="514" spans="1:55" ht="47.25" x14ac:dyDescent="0.25">
      <c r="A514" s="448">
        <v>5</v>
      </c>
      <c r="B514" s="449" t="s">
        <v>1526</v>
      </c>
      <c r="C514" s="450" t="s">
        <v>1527</v>
      </c>
      <c r="D514" s="450"/>
      <c r="E514" s="450" t="s">
        <v>55</v>
      </c>
      <c r="F514" s="450"/>
      <c r="G514" s="452"/>
      <c r="H514" s="452"/>
      <c r="I514" s="492"/>
      <c r="J514" s="492"/>
      <c r="K514" s="492"/>
      <c r="L514" s="492"/>
      <c r="M514" s="492"/>
      <c r="N514" s="492"/>
      <c r="O514" s="492"/>
      <c r="P514" s="492"/>
      <c r="Q514" s="492"/>
      <c r="R514" s="492"/>
      <c r="S514" s="492"/>
      <c r="T514" s="492"/>
      <c r="U514" s="492"/>
      <c r="V514" s="492"/>
      <c r="W514" s="492"/>
      <c r="X514" s="453">
        <v>2600</v>
      </c>
      <c r="Y514" s="453">
        <v>2574</v>
      </c>
      <c r="Z514" s="453"/>
      <c r="AA514" s="453"/>
      <c r="AB514" s="453"/>
      <c r="AC514" s="452"/>
      <c r="AD514" s="452"/>
      <c r="AE514" s="452"/>
      <c r="AF514" s="452"/>
      <c r="AG514" s="452"/>
      <c r="AH514" s="452">
        <v>1100</v>
      </c>
      <c r="AI514" s="452">
        <v>1100</v>
      </c>
      <c r="AJ514" s="454"/>
      <c r="AK514" s="454">
        <f t="shared" si="69"/>
        <v>0</v>
      </c>
      <c r="AL514" s="454">
        <f t="shared" si="70"/>
        <v>0</v>
      </c>
      <c r="AM514" s="453">
        <v>2600</v>
      </c>
      <c r="AN514" s="453">
        <v>2574</v>
      </c>
      <c r="AO514" s="454"/>
      <c r="AP514" s="454"/>
      <c r="AQ514" s="452"/>
      <c r="AR514" s="452"/>
      <c r="AS514" s="497">
        <v>2600</v>
      </c>
      <c r="AT514" s="497">
        <v>2574</v>
      </c>
      <c r="AU514" s="495"/>
      <c r="AV514" s="495"/>
      <c r="AW514" s="148"/>
      <c r="AX514" s="119"/>
      <c r="BB514" s="119">
        <v>1</v>
      </c>
      <c r="BC514" s="119">
        <v>1</v>
      </c>
    </row>
    <row r="515" spans="1:55" ht="47.25" x14ac:dyDescent="0.25">
      <c r="A515" s="448">
        <v>6</v>
      </c>
      <c r="B515" s="449" t="s">
        <v>1528</v>
      </c>
      <c r="C515" s="450" t="s">
        <v>1529</v>
      </c>
      <c r="D515" s="450"/>
      <c r="E515" s="450" t="s">
        <v>55</v>
      </c>
      <c r="F515" s="450"/>
      <c r="G515" s="452"/>
      <c r="H515" s="452"/>
      <c r="I515" s="492"/>
      <c r="J515" s="492"/>
      <c r="K515" s="492"/>
      <c r="L515" s="492"/>
      <c r="M515" s="492"/>
      <c r="N515" s="492"/>
      <c r="O515" s="492"/>
      <c r="P515" s="492"/>
      <c r="Q515" s="492"/>
      <c r="R515" s="492"/>
      <c r="S515" s="492"/>
      <c r="T515" s="492"/>
      <c r="U515" s="492"/>
      <c r="V515" s="492"/>
      <c r="W515" s="492"/>
      <c r="X515" s="453">
        <v>2980</v>
      </c>
      <c r="Y515" s="453">
        <v>2950</v>
      </c>
      <c r="Z515" s="453"/>
      <c r="AA515" s="453"/>
      <c r="AB515" s="453"/>
      <c r="AC515" s="452"/>
      <c r="AD515" s="452"/>
      <c r="AE515" s="452"/>
      <c r="AF515" s="452"/>
      <c r="AG515" s="452"/>
      <c r="AH515" s="452">
        <v>1200</v>
      </c>
      <c r="AI515" s="452">
        <v>1200</v>
      </c>
      <c r="AJ515" s="454"/>
      <c r="AK515" s="454">
        <f t="shared" si="69"/>
        <v>0</v>
      </c>
      <c r="AL515" s="454">
        <f t="shared" si="70"/>
        <v>0</v>
      </c>
      <c r="AM515" s="453">
        <v>2980</v>
      </c>
      <c r="AN515" s="453">
        <v>2950</v>
      </c>
      <c r="AO515" s="454"/>
      <c r="AP515" s="454"/>
      <c r="AQ515" s="452"/>
      <c r="AR515" s="452"/>
      <c r="AS515" s="497">
        <v>2980</v>
      </c>
      <c r="AT515" s="497">
        <v>2950</v>
      </c>
      <c r="AU515" s="495"/>
      <c r="AV515" s="495"/>
      <c r="AW515" s="148"/>
      <c r="AX515" s="119"/>
      <c r="BB515" s="119">
        <v>1</v>
      </c>
      <c r="BC515" s="119">
        <v>6</v>
      </c>
    </row>
    <row r="516" spans="1:55" ht="47.25" x14ac:dyDescent="0.25">
      <c r="A516" s="448">
        <v>7</v>
      </c>
      <c r="B516" s="449" t="s">
        <v>1530</v>
      </c>
      <c r="C516" s="450" t="s">
        <v>1531</v>
      </c>
      <c r="D516" s="450"/>
      <c r="E516" s="450" t="s">
        <v>55</v>
      </c>
      <c r="F516" s="450"/>
      <c r="G516" s="452"/>
      <c r="H516" s="452"/>
      <c r="I516" s="492"/>
      <c r="J516" s="492"/>
      <c r="K516" s="492"/>
      <c r="L516" s="492"/>
      <c r="M516" s="492"/>
      <c r="N516" s="492"/>
      <c r="O516" s="492"/>
      <c r="P516" s="492"/>
      <c r="Q516" s="492"/>
      <c r="R516" s="492"/>
      <c r="S516" s="492"/>
      <c r="T516" s="492"/>
      <c r="U516" s="492"/>
      <c r="V516" s="492"/>
      <c r="W516" s="492"/>
      <c r="X516" s="453">
        <v>2200</v>
      </c>
      <c r="Y516" s="453">
        <v>2178</v>
      </c>
      <c r="Z516" s="453"/>
      <c r="AA516" s="453"/>
      <c r="AB516" s="453"/>
      <c r="AC516" s="452"/>
      <c r="AD516" s="452"/>
      <c r="AE516" s="452"/>
      <c r="AF516" s="452"/>
      <c r="AG516" s="452"/>
      <c r="AH516" s="452">
        <v>900</v>
      </c>
      <c r="AI516" s="452">
        <v>900</v>
      </c>
      <c r="AJ516" s="454"/>
      <c r="AK516" s="454">
        <f t="shared" si="69"/>
        <v>0</v>
      </c>
      <c r="AL516" s="454">
        <f t="shared" si="70"/>
        <v>0</v>
      </c>
      <c r="AM516" s="453">
        <v>2200</v>
      </c>
      <c r="AN516" s="453">
        <v>2178</v>
      </c>
      <c r="AO516" s="454"/>
      <c r="AP516" s="454"/>
      <c r="AQ516" s="452"/>
      <c r="AR516" s="452"/>
      <c r="AS516" s="497">
        <v>2200</v>
      </c>
      <c r="AT516" s="497">
        <v>2178</v>
      </c>
      <c r="AU516" s="495"/>
      <c r="AV516" s="495"/>
      <c r="AW516" s="148"/>
      <c r="AX516" s="119"/>
      <c r="BB516" s="119">
        <v>1</v>
      </c>
      <c r="BC516" s="119">
        <v>6</v>
      </c>
    </row>
    <row r="517" spans="1:55" ht="47.25" x14ac:dyDescent="0.25">
      <c r="A517" s="448">
        <v>8</v>
      </c>
      <c r="B517" s="449" t="s">
        <v>1532</v>
      </c>
      <c r="C517" s="450" t="s">
        <v>1533</v>
      </c>
      <c r="D517" s="450"/>
      <c r="E517" s="450" t="s">
        <v>57</v>
      </c>
      <c r="F517" s="450"/>
      <c r="G517" s="452"/>
      <c r="H517" s="452"/>
      <c r="I517" s="492"/>
      <c r="J517" s="492"/>
      <c r="K517" s="492"/>
      <c r="L517" s="492"/>
      <c r="M517" s="492"/>
      <c r="N517" s="492"/>
      <c r="O517" s="492"/>
      <c r="P517" s="492"/>
      <c r="Q517" s="492"/>
      <c r="R517" s="492"/>
      <c r="S517" s="492"/>
      <c r="T517" s="492"/>
      <c r="U517" s="492"/>
      <c r="V517" s="492"/>
      <c r="W517" s="492"/>
      <c r="X517" s="453">
        <v>9520</v>
      </c>
      <c r="Y517" s="453">
        <v>9520</v>
      </c>
      <c r="Z517" s="453"/>
      <c r="AA517" s="453"/>
      <c r="AB517" s="453"/>
      <c r="AC517" s="452"/>
      <c r="AD517" s="452"/>
      <c r="AE517" s="452"/>
      <c r="AF517" s="452"/>
      <c r="AG517" s="452"/>
      <c r="AH517" s="452">
        <v>2084</v>
      </c>
      <c r="AI517" s="452">
        <v>2084</v>
      </c>
      <c r="AJ517" s="454"/>
      <c r="AK517" s="454">
        <f t="shared" si="69"/>
        <v>0</v>
      </c>
      <c r="AL517" s="454">
        <f t="shared" si="70"/>
        <v>0</v>
      </c>
      <c r="AM517" s="453">
        <v>9520</v>
      </c>
      <c r="AN517" s="453">
        <v>9520</v>
      </c>
      <c r="AO517" s="454"/>
      <c r="AP517" s="454"/>
      <c r="AQ517" s="452"/>
      <c r="AR517" s="452"/>
      <c r="AS517" s="497">
        <v>9520</v>
      </c>
      <c r="AT517" s="497">
        <v>9520</v>
      </c>
      <c r="AU517" s="586"/>
      <c r="AV517" s="586"/>
      <c r="AW517" s="10"/>
      <c r="AX517" s="119"/>
    </row>
    <row r="518" spans="1:55" ht="47.25" x14ac:dyDescent="0.25">
      <c r="A518" s="448">
        <v>9</v>
      </c>
      <c r="B518" s="449" t="s">
        <v>1534</v>
      </c>
      <c r="C518" s="450" t="s">
        <v>1521</v>
      </c>
      <c r="D518" s="450"/>
      <c r="E518" s="450" t="s">
        <v>933</v>
      </c>
      <c r="F518" s="450"/>
      <c r="G518" s="452"/>
      <c r="H518" s="452"/>
      <c r="I518" s="492"/>
      <c r="J518" s="492"/>
      <c r="K518" s="492"/>
      <c r="L518" s="492"/>
      <c r="M518" s="492"/>
      <c r="N518" s="492"/>
      <c r="O518" s="492"/>
      <c r="P518" s="492"/>
      <c r="Q518" s="492"/>
      <c r="R518" s="492"/>
      <c r="S518" s="492"/>
      <c r="T518" s="492"/>
      <c r="U518" s="492"/>
      <c r="V518" s="492"/>
      <c r="W518" s="492"/>
      <c r="X518" s="453">
        <v>2600</v>
      </c>
      <c r="Y518" s="453">
        <v>2574</v>
      </c>
      <c r="Z518" s="453"/>
      <c r="AA518" s="453"/>
      <c r="AB518" s="453"/>
      <c r="AC518" s="452"/>
      <c r="AD518" s="452"/>
      <c r="AE518" s="452"/>
      <c r="AF518" s="452"/>
      <c r="AG518" s="452"/>
      <c r="AH518" s="452"/>
      <c r="AI518" s="452"/>
      <c r="AJ518" s="454"/>
      <c r="AK518" s="454">
        <f t="shared" si="69"/>
        <v>0</v>
      </c>
      <c r="AL518" s="454">
        <f t="shared" si="70"/>
        <v>0</v>
      </c>
      <c r="AM518" s="454">
        <v>2600</v>
      </c>
      <c r="AN518" s="454">
        <v>2574</v>
      </c>
      <c r="AO518" s="454"/>
      <c r="AP518" s="454"/>
      <c r="AQ518" s="452"/>
      <c r="AR518" s="452"/>
      <c r="AS518" s="494">
        <v>2600</v>
      </c>
      <c r="AT518" s="494">
        <v>2574</v>
      </c>
      <c r="AU518" s="495"/>
      <c r="AV518" s="495"/>
      <c r="AW518" s="10"/>
      <c r="AX518" s="119"/>
    </row>
    <row r="519" spans="1:55" ht="31.5" x14ac:dyDescent="0.25">
      <c r="A519" s="448">
        <v>10</v>
      </c>
      <c r="B519" s="449" t="s">
        <v>1535</v>
      </c>
      <c r="C519" s="450" t="s">
        <v>1521</v>
      </c>
      <c r="D519" s="450"/>
      <c r="E519" s="450" t="s">
        <v>933</v>
      </c>
      <c r="F519" s="450"/>
      <c r="G519" s="452"/>
      <c r="H519" s="452"/>
      <c r="I519" s="492"/>
      <c r="J519" s="492"/>
      <c r="K519" s="492"/>
      <c r="L519" s="492"/>
      <c r="M519" s="492"/>
      <c r="N519" s="492"/>
      <c r="O519" s="492"/>
      <c r="P519" s="492"/>
      <c r="Q519" s="492"/>
      <c r="R519" s="492"/>
      <c r="S519" s="492"/>
      <c r="T519" s="492"/>
      <c r="U519" s="492"/>
      <c r="V519" s="492"/>
      <c r="W519" s="492"/>
      <c r="X519" s="453">
        <v>2536</v>
      </c>
      <c r="Y519" s="453">
        <v>2509</v>
      </c>
      <c r="Z519" s="453"/>
      <c r="AA519" s="453"/>
      <c r="AB519" s="453"/>
      <c r="AC519" s="452"/>
      <c r="AD519" s="452"/>
      <c r="AE519" s="452"/>
      <c r="AF519" s="452"/>
      <c r="AG519" s="452"/>
      <c r="AH519" s="452"/>
      <c r="AI519" s="452"/>
      <c r="AJ519" s="454"/>
      <c r="AK519" s="454">
        <f t="shared" si="69"/>
        <v>0</v>
      </c>
      <c r="AL519" s="454">
        <f t="shared" si="70"/>
        <v>0</v>
      </c>
      <c r="AM519" s="454">
        <v>2536</v>
      </c>
      <c r="AN519" s="454">
        <v>2509</v>
      </c>
      <c r="AO519" s="454"/>
      <c r="AP519" s="454"/>
      <c r="AQ519" s="452"/>
      <c r="AR519" s="452"/>
      <c r="AS519" s="494">
        <v>2536</v>
      </c>
      <c r="AT519" s="494">
        <v>2509</v>
      </c>
      <c r="AU519" s="495"/>
      <c r="AV519" s="495"/>
      <c r="AW519" s="10"/>
      <c r="AX519" s="119"/>
      <c r="BB519" s="119">
        <v>1</v>
      </c>
      <c r="BC519" s="119">
        <v>3</v>
      </c>
    </row>
    <row r="520" spans="1:55" ht="63" x14ac:dyDescent="0.25">
      <c r="A520" s="448"/>
      <c r="B520" s="449" t="s">
        <v>1536</v>
      </c>
      <c r="C520" s="450" t="s">
        <v>1537</v>
      </c>
      <c r="D520" s="450"/>
      <c r="E520" s="450" t="s">
        <v>65</v>
      </c>
      <c r="F520" s="450"/>
      <c r="G520" s="452"/>
      <c r="H520" s="452"/>
      <c r="I520" s="492"/>
      <c r="J520" s="492"/>
      <c r="K520" s="492"/>
      <c r="L520" s="492"/>
      <c r="M520" s="492"/>
      <c r="N520" s="492"/>
      <c r="O520" s="492"/>
      <c r="P520" s="492"/>
      <c r="Q520" s="492"/>
      <c r="R520" s="492"/>
      <c r="S520" s="492"/>
      <c r="T520" s="492"/>
      <c r="U520" s="492"/>
      <c r="V520" s="492"/>
      <c r="W520" s="492"/>
      <c r="X520" s="453">
        <v>36000</v>
      </c>
      <c r="Y520" s="453">
        <v>33300</v>
      </c>
      <c r="Z520" s="453"/>
      <c r="AA520" s="453"/>
      <c r="AB520" s="453"/>
      <c r="AC520" s="452"/>
      <c r="AD520" s="452"/>
      <c r="AE520" s="452"/>
      <c r="AF520" s="452"/>
      <c r="AG520" s="452"/>
      <c r="AH520" s="452"/>
      <c r="AI520" s="452"/>
      <c r="AJ520" s="454"/>
      <c r="AK520" s="454">
        <f>IF(AN520-Y520&gt;0,AM520-Y520,0)</f>
        <v>0</v>
      </c>
      <c r="AL520" s="454">
        <f>IF(Y520-AN520&gt;0,Y520-AN520,0)</f>
        <v>1018</v>
      </c>
      <c r="AM520" s="454">
        <v>34900</v>
      </c>
      <c r="AN520" s="454">
        <v>32282</v>
      </c>
      <c r="AO520" s="454"/>
      <c r="AP520" s="454"/>
      <c r="AQ520" s="452"/>
      <c r="AR520" s="452"/>
      <c r="AS520" s="494">
        <v>34900</v>
      </c>
      <c r="AT520" s="494">
        <v>32282</v>
      </c>
      <c r="AU520" s="495"/>
      <c r="AV520" s="495"/>
      <c r="AW520" s="10"/>
      <c r="AX520" s="119"/>
      <c r="BB520" s="119">
        <v>1</v>
      </c>
      <c r="BC520" s="119">
        <v>6</v>
      </c>
    </row>
    <row r="521" spans="1:55" ht="31.5" x14ac:dyDescent="0.25">
      <c r="A521" s="448" t="s">
        <v>771</v>
      </c>
      <c r="B521" s="449" t="s">
        <v>1538</v>
      </c>
      <c r="C521" s="450" t="s">
        <v>1539</v>
      </c>
      <c r="D521" s="450"/>
      <c r="E521" s="450" t="s">
        <v>61</v>
      </c>
      <c r="F521" s="450"/>
      <c r="G521" s="452"/>
      <c r="H521" s="452"/>
      <c r="I521" s="492"/>
      <c r="J521" s="492"/>
      <c r="K521" s="492"/>
      <c r="L521" s="492"/>
      <c r="M521" s="492"/>
      <c r="N521" s="492"/>
      <c r="O521" s="492"/>
      <c r="P521" s="492"/>
      <c r="Q521" s="492"/>
      <c r="R521" s="492"/>
      <c r="S521" s="492"/>
      <c r="T521" s="492"/>
      <c r="U521" s="492"/>
      <c r="V521" s="492"/>
      <c r="W521" s="492"/>
      <c r="X521" s="453"/>
      <c r="Y521" s="453"/>
      <c r="Z521" s="453"/>
      <c r="AA521" s="453"/>
      <c r="AB521" s="453"/>
      <c r="AC521" s="452"/>
      <c r="AD521" s="452"/>
      <c r="AE521" s="452"/>
      <c r="AF521" s="452"/>
      <c r="AG521" s="452"/>
      <c r="AH521" s="452"/>
      <c r="AI521" s="452"/>
      <c r="AJ521" s="454"/>
      <c r="AK521" s="454"/>
      <c r="AL521" s="454">
        <f t="shared" si="70"/>
        <v>0</v>
      </c>
      <c r="AM521" s="454">
        <v>4000</v>
      </c>
      <c r="AN521" s="454">
        <v>3700</v>
      </c>
      <c r="AO521" s="454"/>
      <c r="AP521" s="454"/>
      <c r="AQ521" s="452"/>
      <c r="AR521" s="452"/>
      <c r="AS521" s="494">
        <v>4000</v>
      </c>
      <c r="AT521" s="494">
        <v>3700</v>
      </c>
      <c r="AU521" s="495"/>
      <c r="AV521" s="495"/>
      <c r="AW521" s="10"/>
      <c r="AX521" s="119"/>
      <c r="BB521" s="119">
        <v>1</v>
      </c>
      <c r="BC521" s="119">
        <v>6</v>
      </c>
    </row>
    <row r="522" spans="1:55" ht="31.5" x14ac:dyDescent="0.25">
      <c r="A522" s="448" t="s">
        <v>774</v>
      </c>
      <c r="B522" s="449" t="s">
        <v>1540</v>
      </c>
      <c r="C522" s="450" t="s">
        <v>1521</v>
      </c>
      <c r="D522" s="450"/>
      <c r="E522" s="450" t="s">
        <v>61</v>
      </c>
      <c r="F522" s="450"/>
      <c r="G522" s="452"/>
      <c r="H522" s="452"/>
      <c r="I522" s="492"/>
      <c r="J522" s="492"/>
      <c r="K522" s="492"/>
      <c r="L522" s="492"/>
      <c r="M522" s="492"/>
      <c r="N522" s="492"/>
      <c r="O522" s="492"/>
      <c r="P522" s="492"/>
      <c r="Q522" s="492"/>
      <c r="R522" s="492"/>
      <c r="S522" s="492"/>
      <c r="T522" s="492"/>
      <c r="U522" s="492"/>
      <c r="V522" s="492"/>
      <c r="W522" s="492"/>
      <c r="X522" s="453"/>
      <c r="Y522" s="453"/>
      <c r="Z522" s="453"/>
      <c r="AA522" s="453"/>
      <c r="AB522" s="453"/>
      <c r="AC522" s="452"/>
      <c r="AD522" s="452"/>
      <c r="AE522" s="452"/>
      <c r="AF522" s="452"/>
      <c r="AG522" s="452"/>
      <c r="AH522" s="452"/>
      <c r="AI522" s="452"/>
      <c r="AJ522" s="454"/>
      <c r="AK522" s="454"/>
      <c r="AL522" s="454">
        <f t="shared" si="70"/>
        <v>0</v>
      </c>
      <c r="AM522" s="454">
        <v>4000</v>
      </c>
      <c r="AN522" s="454">
        <v>3700</v>
      </c>
      <c r="AO522" s="454"/>
      <c r="AP522" s="454"/>
      <c r="AQ522" s="452"/>
      <c r="AR522" s="452"/>
      <c r="AS522" s="494">
        <v>4000</v>
      </c>
      <c r="AT522" s="494">
        <v>3700</v>
      </c>
      <c r="AU522" s="495"/>
      <c r="AV522" s="495"/>
      <c r="AW522" s="10"/>
      <c r="AX522" s="119"/>
      <c r="BB522" s="119">
        <v>1</v>
      </c>
      <c r="BC522" s="119">
        <v>6</v>
      </c>
    </row>
    <row r="523" spans="1:55" ht="31.5" x14ac:dyDescent="0.25">
      <c r="A523" s="448" t="s">
        <v>777</v>
      </c>
      <c r="B523" s="449" t="s">
        <v>1541</v>
      </c>
      <c r="C523" s="450" t="s">
        <v>1531</v>
      </c>
      <c r="D523" s="450"/>
      <c r="E523" s="450" t="s">
        <v>61</v>
      </c>
      <c r="F523" s="450"/>
      <c r="G523" s="452"/>
      <c r="H523" s="452"/>
      <c r="I523" s="492"/>
      <c r="J523" s="492"/>
      <c r="K523" s="492"/>
      <c r="L523" s="492"/>
      <c r="M523" s="492"/>
      <c r="N523" s="492"/>
      <c r="O523" s="492"/>
      <c r="P523" s="492"/>
      <c r="Q523" s="492"/>
      <c r="R523" s="492"/>
      <c r="S523" s="492"/>
      <c r="T523" s="492"/>
      <c r="U523" s="492"/>
      <c r="V523" s="492"/>
      <c r="W523" s="492"/>
      <c r="X523" s="453"/>
      <c r="Y523" s="453"/>
      <c r="Z523" s="453"/>
      <c r="AA523" s="453"/>
      <c r="AB523" s="453"/>
      <c r="AC523" s="452"/>
      <c r="AD523" s="452"/>
      <c r="AE523" s="452"/>
      <c r="AF523" s="452"/>
      <c r="AG523" s="452"/>
      <c r="AH523" s="452"/>
      <c r="AI523" s="452"/>
      <c r="AJ523" s="454"/>
      <c r="AK523" s="454"/>
      <c r="AL523" s="454">
        <f t="shared" si="70"/>
        <v>0</v>
      </c>
      <c r="AM523" s="454">
        <v>4000</v>
      </c>
      <c r="AN523" s="454">
        <v>3700</v>
      </c>
      <c r="AO523" s="454"/>
      <c r="AP523" s="454"/>
      <c r="AQ523" s="452"/>
      <c r="AR523" s="452"/>
      <c r="AS523" s="494">
        <v>4000</v>
      </c>
      <c r="AT523" s="494">
        <v>3700</v>
      </c>
      <c r="AU523" s="495"/>
      <c r="AV523" s="495"/>
      <c r="AW523" s="10"/>
      <c r="AX523" s="119"/>
      <c r="BB523" s="119">
        <v>1</v>
      </c>
      <c r="BC523" s="119">
        <v>6</v>
      </c>
    </row>
    <row r="524" spans="1:55" s="14" customFormat="1" ht="47.25" x14ac:dyDescent="0.25">
      <c r="A524" s="448" t="s">
        <v>781</v>
      </c>
      <c r="B524" s="449" t="s">
        <v>1542</v>
      </c>
      <c r="C524" s="450" t="s">
        <v>1543</v>
      </c>
      <c r="D524" s="450"/>
      <c r="E524" s="450" t="s">
        <v>61</v>
      </c>
      <c r="F524" s="450"/>
      <c r="G524" s="452"/>
      <c r="H524" s="452"/>
      <c r="I524" s="492"/>
      <c r="J524" s="492"/>
      <c r="K524" s="492"/>
      <c r="L524" s="492"/>
      <c r="M524" s="492"/>
      <c r="N524" s="492"/>
      <c r="O524" s="492"/>
      <c r="P524" s="492"/>
      <c r="Q524" s="492"/>
      <c r="R524" s="492"/>
      <c r="S524" s="492"/>
      <c r="T524" s="492"/>
      <c r="U524" s="492"/>
      <c r="V524" s="492"/>
      <c r="W524" s="492"/>
      <c r="X524" s="453"/>
      <c r="Y524" s="453"/>
      <c r="Z524" s="453"/>
      <c r="AA524" s="453"/>
      <c r="AB524" s="453"/>
      <c r="AC524" s="452"/>
      <c r="AD524" s="452"/>
      <c r="AE524" s="452"/>
      <c r="AF524" s="452"/>
      <c r="AG524" s="452"/>
      <c r="AH524" s="452"/>
      <c r="AI524" s="452"/>
      <c r="AJ524" s="454"/>
      <c r="AK524" s="454"/>
      <c r="AL524" s="454">
        <f t="shared" si="70"/>
        <v>0</v>
      </c>
      <c r="AM524" s="454">
        <v>4000</v>
      </c>
      <c r="AN524" s="454">
        <v>3700</v>
      </c>
      <c r="AO524" s="454"/>
      <c r="AP524" s="454"/>
      <c r="AQ524" s="452"/>
      <c r="AR524" s="452"/>
      <c r="AS524" s="494">
        <v>4000</v>
      </c>
      <c r="AT524" s="494">
        <v>3700</v>
      </c>
      <c r="AU524" s="54">
        <v>0</v>
      </c>
      <c r="AV524" s="54">
        <v>0</v>
      </c>
      <c r="AW524" s="141"/>
    </row>
    <row r="525" spans="1:55" s="479" customFormat="1" ht="31.5" x14ac:dyDescent="0.25">
      <c r="A525" s="448" t="s">
        <v>784</v>
      </c>
      <c r="B525" s="449" t="s">
        <v>1544</v>
      </c>
      <c r="C525" s="450" t="s">
        <v>1527</v>
      </c>
      <c r="D525" s="450"/>
      <c r="E525" s="450" t="s">
        <v>61</v>
      </c>
      <c r="F525" s="450"/>
      <c r="G525" s="452"/>
      <c r="H525" s="452"/>
      <c r="I525" s="492"/>
      <c r="J525" s="492"/>
      <c r="K525" s="492"/>
      <c r="L525" s="492"/>
      <c r="M525" s="492"/>
      <c r="N525" s="492"/>
      <c r="O525" s="492"/>
      <c r="P525" s="492"/>
      <c r="Q525" s="492"/>
      <c r="R525" s="492"/>
      <c r="S525" s="492"/>
      <c r="T525" s="492"/>
      <c r="U525" s="492"/>
      <c r="V525" s="492"/>
      <c r="W525" s="492"/>
      <c r="X525" s="453"/>
      <c r="Y525" s="453"/>
      <c r="Z525" s="453"/>
      <c r="AA525" s="453"/>
      <c r="AB525" s="453"/>
      <c r="AC525" s="452"/>
      <c r="AD525" s="452"/>
      <c r="AE525" s="452"/>
      <c r="AF525" s="452"/>
      <c r="AG525" s="452"/>
      <c r="AH525" s="452"/>
      <c r="AI525" s="452"/>
      <c r="AJ525" s="454"/>
      <c r="AK525" s="454"/>
      <c r="AL525" s="454">
        <f t="shared" si="70"/>
        <v>0</v>
      </c>
      <c r="AM525" s="454">
        <v>3900</v>
      </c>
      <c r="AN525" s="454">
        <v>3607</v>
      </c>
      <c r="AO525" s="454"/>
      <c r="AP525" s="454"/>
      <c r="AQ525" s="452"/>
      <c r="AR525" s="452"/>
      <c r="AS525" s="494">
        <v>3900</v>
      </c>
      <c r="AT525" s="494">
        <v>3607</v>
      </c>
      <c r="AU525" s="478"/>
      <c r="AV525" s="478"/>
      <c r="AW525" s="10"/>
      <c r="BB525" s="119">
        <v>1</v>
      </c>
      <c r="BC525" s="479" t="s">
        <v>733</v>
      </c>
    </row>
    <row r="526" spans="1:55" s="479" customFormat="1" ht="47.25" x14ac:dyDescent="0.25">
      <c r="A526" s="448" t="s">
        <v>787</v>
      </c>
      <c r="B526" s="449" t="s">
        <v>1545</v>
      </c>
      <c r="C526" s="450" t="s">
        <v>1546</v>
      </c>
      <c r="D526" s="450"/>
      <c r="E526" s="450" t="s">
        <v>61</v>
      </c>
      <c r="F526" s="450"/>
      <c r="G526" s="452"/>
      <c r="H526" s="452"/>
      <c r="I526" s="492"/>
      <c r="J526" s="492"/>
      <c r="K526" s="492"/>
      <c r="L526" s="492"/>
      <c r="M526" s="492"/>
      <c r="N526" s="492"/>
      <c r="O526" s="492"/>
      <c r="P526" s="492"/>
      <c r="Q526" s="492"/>
      <c r="R526" s="492"/>
      <c r="S526" s="492"/>
      <c r="T526" s="492"/>
      <c r="U526" s="492"/>
      <c r="V526" s="492"/>
      <c r="W526" s="492"/>
      <c r="X526" s="453"/>
      <c r="Y526" s="453"/>
      <c r="Z526" s="453"/>
      <c r="AA526" s="453"/>
      <c r="AB526" s="453"/>
      <c r="AC526" s="452"/>
      <c r="AD526" s="452"/>
      <c r="AE526" s="452"/>
      <c r="AF526" s="452"/>
      <c r="AG526" s="452"/>
      <c r="AH526" s="452"/>
      <c r="AI526" s="452"/>
      <c r="AJ526" s="454"/>
      <c r="AK526" s="454"/>
      <c r="AL526" s="454">
        <f t="shared" si="70"/>
        <v>0</v>
      </c>
      <c r="AM526" s="454">
        <v>3000</v>
      </c>
      <c r="AN526" s="454">
        <v>2775</v>
      </c>
      <c r="AO526" s="454"/>
      <c r="AP526" s="454"/>
      <c r="AQ526" s="452"/>
      <c r="AR526" s="452"/>
      <c r="AS526" s="494">
        <v>3000</v>
      </c>
      <c r="AT526" s="494">
        <v>2775</v>
      </c>
      <c r="AU526" s="509">
        <v>0</v>
      </c>
      <c r="AV526" s="509">
        <v>0</v>
      </c>
      <c r="AW526" s="510"/>
    </row>
    <row r="527" spans="1:55" ht="31.5" x14ac:dyDescent="0.25">
      <c r="A527" s="448" t="s">
        <v>791</v>
      </c>
      <c r="B527" s="449" t="s">
        <v>1547</v>
      </c>
      <c r="C527" s="450" t="s">
        <v>1525</v>
      </c>
      <c r="D527" s="450"/>
      <c r="E527" s="450" t="s">
        <v>61</v>
      </c>
      <c r="F527" s="450"/>
      <c r="G527" s="452"/>
      <c r="H527" s="452"/>
      <c r="I527" s="492"/>
      <c r="J527" s="492"/>
      <c r="K527" s="492"/>
      <c r="L527" s="492"/>
      <c r="M527" s="492"/>
      <c r="N527" s="492"/>
      <c r="O527" s="492"/>
      <c r="P527" s="492"/>
      <c r="Q527" s="492"/>
      <c r="R527" s="492"/>
      <c r="S527" s="492"/>
      <c r="T527" s="492"/>
      <c r="U527" s="492"/>
      <c r="V527" s="492"/>
      <c r="W527" s="492"/>
      <c r="X527" s="453"/>
      <c r="Y527" s="453"/>
      <c r="Z527" s="453"/>
      <c r="AA527" s="453"/>
      <c r="AB527" s="453"/>
      <c r="AC527" s="452"/>
      <c r="AD527" s="452"/>
      <c r="AE527" s="452"/>
      <c r="AF527" s="452"/>
      <c r="AG527" s="452"/>
      <c r="AH527" s="452"/>
      <c r="AI527" s="452"/>
      <c r="AJ527" s="454"/>
      <c r="AK527" s="454"/>
      <c r="AL527" s="454">
        <f t="shared" si="70"/>
        <v>0</v>
      </c>
      <c r="AM527" s="454">
        <v>4000</v>
      </c>
      <c r="AN527" s="454">
        <v>3700</v>
      </c>
      <c r="AO527" s="454"/>
      <c r="AP527" s="454"/>
      <c r="AQ527" s="452"/>
      <c r="AR527" s="452"/>
      <c r="AS527" s="494">
        <v>4000</v>
      </c>
      <c r="AT527" s="494">
        <v>3700</v>
      </c>
      <c r="AU527" s="495"/>
      <c r="AV527" s="495"/>
      <c r="AW527" s="587"/>
      <c r="AX527" s="119"/>
      <c r="BB527" s="119">
        <v>1</v>
      </c>
      <c r="BC527" s="119">
        <v>6</v>
      </c>
    </row>
    <row r="528" spans="1:55" ht="31.5" x14ac:dyDescent="0.25">
      <c r="A528" s="448" t="s">
        <v>795</v>
      </c>
      <c r="B528" s="449" t="s">
        <v>1548</v>
      </c>
      <c r="C528" s="450" t="s">
        <v>89</v>
      </c>
      <c r="D528" s="450"/>
      <c r="E528" s="450" t="s">
        <v>61</v>
      </c>
      <c r="F528" s="450"/>
      <c r="G528" s="452"/>
      <c r="H528" s="452"/>
      <c r="I528" s="492"/>
      <c r="J528" s="492"/>
      <c r="K528" s="492"/>
      <c r="L528" s="492"/>
      <c r="M528" s="492"/>
      <c r="N528" s="492"/>
      <c r="O528" s="492"/>
      <c r="P528" s="492"/>
      <c r="Q528" s="492"/>
      <c r="R528" s="492"/>
      <c r="S528" s="492"/>
      <c r="T528" s="492"/>
      <c r="U528" s="492"/>
      <c r="V528" s="492"/>
      <c r="W528" s="492"/>
      <c r="X528" s="453"/>
      <c r="Y528" s="453"/>
      <c r="Z528" s="453"/>
      <c r="AA528" s="453"/>
      <c r="AB528" s="453"/>
      <c r="AC528" s="452"/>
      <c r="AD528" s="452"/>
      <c r="AE528" s="452"/>
      <c r="AF528" s="452"/>
      <c r="AG528" s="452"/>
      <c r="AH528" s="452"/>
      <c r="AI528" s="452"/>
      <c r="AJ528" s="454"/>
      <c r="AK528" s="454"/>
      <c r="AL528" s="454">
        <f t="shared" si="70"/>
        <v>0</v>
      </c>
      <c r="AM528" s="454">
        <v>4000</v>
      </c>
      <c r="AN528" s="454">
        <v>3700</v>
      </c>
      <c r="AO528" s="454"/>
      <c r="AP528" s="454"/>
      <c r="AQ528" s="452"/>
      <c r="AR528" s="452"/>
      <c r="AS528" s="494">
        <v>4000</v>
      </c>
      <c r="AT528" s="494">
        <v>3700</v>
      </c>
      <c r="AU528" s="495"/>
      <c r="AV528" s="495"/>
      <c r="AW528" s="587"/>
      <c r="AX528" s="119"/>
      <c r="BB528" s="119">
        <v>1</v>
      </c>
      <c r="BC528" s="119">
        <v>6</v>
      </c>
    </row>
    <row r="529" spans="1:55" ht="31.5" x14ac:dyDescent="0.25">
      <c r="A529" s="448" t="s">
        <v>798</v>
      </c>
      <c r="B529" s="449" t="s">
        <v>1549</v>
      </c>
      <c r="C529" s="450" t="s">
        <v>1523</v>
      </c>
      <c r="D529" s="450"/>
      <c r="E529" s="450" t="s">
        <v>61</v>
      </c>
      <c r="F529" s="450"/>
      <c r="G529" s="452"/>
      <c r="H529" s="452"/>
      <c r="I529" s="492"/>
      <c r="J529" s="492"/>
      <c r="K529" s="492"/>
      <c r="L529" s="492"/>
      <c r="M529" s="492"/>
      <c r="N529" s="492"/>
      <c r="O529" s="492"/>
      <c r="P529" s="492"/>
      <c r="Q529" s="492"/>
      <c r="R529" s="492"/>
      <c r="S529" s="492"/>
      <c r="T529" s="492"/>
      <c r="U529" s="492"/>
      <c r="V529" s="492"/>
      <c r="W529" s="492"/>
      <c r="X529" s="453"/>
      <c r="Y529" s="453"/>
      <c r="Z529" s="453"/>
      <c r="AA529" s="453"/>
      <c r="AB529" s="453"/>
      <c r="AC529" s="452"/>
      <c r="AD529" s="452"/>
      <c r="AE529" s="452"/>
      <c r="AF529" s="452"/>
      <c r="AG529" s="452"/>
      <c r="AH529" s="452"/>
      <c r="AI529" s="452"/>
      <c r="AJ529" s="454"/>
      <c r="AK529" s="454"/>
      <c r="AL529" s="454">
        <f t="shared" si="70"/>
        <v>0</v>
      </c>
      <c r="AM529" s="454">
        <v>4000</v>
      </c>
      <c r="AN529" s="454">
        <v>3700</v>
      </c>
      <c r="AO529" s="454"/>
      <c r="AP529" s="454"/>
      <c r="AQ529" s="452"/>
      <c r="AR529" s="452"/>
      <c r="AS529" s="494">
        <v>4000</v>
      </c>
      <c r="AT529" s="494">
        <v>3700</v>
      </c>
      <c r="AU529" s="495"/>
      <c r="AV529" s="495"/>
      <c r="AW529" s="587"/>
      <c r="AX529" s="119"/>
      <c r="BB529" s="119">
        <v>1</v>
      </c>
      <c r="BC529" s="119">
        <v>1</v>
      </c>
    </row>
    <row r="530" spans="1:55" ht="31.5" x14ac:dyDescent="0.25">
      <c r="A530" s="448" t="s">
        <v>801</v>
      </c>
      <c r="B530" s="449" t="s">
        <v>1550</v>
      </c>
      <c r="C530" s="450" t="s">
        <v>1551</v>
      </c>
      <c r="D530" s="450"/>
      <c r="E530" s="450" t="s">
        <v>61</v>
      </c>
      <c r="F530" s="450"/>
      <c r="G530" s="452"/>
      <c r="H530" s="452"/>
      <c r="I530" s="492"/>
      <c r="J530" s="492"/>
      <c r="K530" s="492"/>
      <c r="L530" s="492"/>
      <c r="M530" s="492"/>
      <c r="N530" s="492"/>
      <c r="O530" s="492"/>
      <c r="P530" s="492"/>
      <c r="Q530" s="492"/>
      <c r="R530" s="492"/>
      <c r="S530" s="492"/>
      <c r="T530" s="492"/>
      <c r="U530" s="492"/>
      <c r="V530" s="492"/>
      <c r="W530" s="492"/>
      <c r="X530" s="453">
        <v>1450</v>
      </c>
      <c r="Y530" s="453">
        <v>1429</v>
      </c>
      <c r="Z530" s="453"/>
      <c r="AA530" s="453"/>
      <c r="AB530" s="453"/>
      <c r="AC530" s="452"/>
      <c r="AD530" s="452"/>
      <c r="AE530" s="452"/>
      <c r="AF530" s="452"/>
      <c r="AG530" s="452"/>
      <c r="AH530" s="452"/>
      <c r="AI530" s="452"/>
      <c r="AJ530" s="454"/>
      <c r="AK530" s="454">
        <f>IF(AN530-Y530&gt;0,AM530-Y530,0)</f>
        <v>0</v>
      </c>
      <c r="AL530" s="454">
        <f>IF(Y530-AN530&gt;0,Y530-AN530,0)</f>
        <v>0</v>
      </c>
      <c r="AM530" s="454">
        <v>1450</v>
      </c>
      <c r="AN530" s="454">
        <v>1429</v>
      </c>
      <c r="AO530" s="454"/>
      <c r="AP530" s="454"/>
      <c r="AQ530" s="452"/>
      <c r="AR530" s="452"/>
      <c r="AS530" s="494">
        <v>1450</v>
      </c>
      <c r="AT530" s="494">
        <v>1429</v>
      </c>
      <c r="AU530" s="495"/>
      <c r="AV530" s="495"/>
      <c r="AW530" s="587"/>
      <c r="AX530" s="119"/>
      <c r="BB530" s="119">
        <v>1</v>
      </c>
      <c r="BC530" s="119">
        <v>6</v>
      </c>
    </row>
    <row r="531" spans="1:55" ht="31.5" x14ac:dyDescent="0.25">
      <c r="A531" s="448" t="s">
        <v>804</v>
      </c>
      <c r="B531" s="449" t="s">
        <v>1552</v>
      </c>
      <c r="C531" s="450" t="s">
        <v>1551</v>
      </c>
      <c r="D531" s="450"/>
      <c r="E531" s="450" t="s">
        <v>61</v>
      </c>
      <c r="F531" s="450"/>
      <c r="G531" s="452"/>
      <c r="H531" s="452"/>
      <c r="I531" s="492"/>
      <c r="J531" s="492"/>
      <c r="K531" s="492"/>
      <c r="L531" s="492"/>
      <c r="M531" s="492"/>
      <c r="N531" s="492"/>
      <c r="O531" s="492"/>
      <c r="P531" s="492"/>
      <c r="Q531" s="492"/>
      <c r="R531" s="492"/>
      <c r="S531" s="492"/>
      <c r="T531" s="492"/>
      <c r="U531" s="492"/>
      <c r="V531" s="492"/>
      <c r="W531" s="492"/>
      <c r="X531" s="453">
        <v>1450</v>
      </c>
      <c r="Y531" s="453">
        <v>1429</v>
      </c>
      <c r="Z531" s="453"/>
      <c r="AA531" s="453"/>
      <c r="AB531" s="453"/>
      <c r="AC531" s="452"/>
      <c r="AD531" s="452"/>
      <c r="AE531" s="452"/>
      <c r="AF531" s="452"/>
      <c r="AG531" s="452"/>
      <c r="AH531" s="452"/>
      <c r="AI531" s="452"/>
      <c r="AJ531" s="454"/>
      <c r="AK531" s="454">
        <f t="shared" ref="AK531:AK543" si="71">IF(AN531-Y531&gt;0,AM531-Y531,0)</f>
        <v>0</v>
      </c>
      <c r="AL531" s="454">
        <f t="shared" ref="AL531:AL543" si="72">IF(Y531-AN531&gt;0,Y531-AN531,0)</f>
        <v>0</v>
      </c>
      <c r="AM531" s="454">
        <v>1450</v>
      </c>
      <c r="AN531" s="454">
        <v>1429</v>
      </c>
      <c r="AO531" s="454"/>
      <c r="AP531" s="454"/>
      <c r="AQ531" s="452"/>
      <c r="AR531" s="452"/>
      <c r="AS531" s="494">
        <v>1450</v>
      </c>
      <c r="AT531" s="494">
        <v>1429</v>
      </c>
      <c r="AU531" s="495"/>
      <c r="AV531" s="495"/>
      <c r="AW531" s="587"/>
      <c r="AX531" s="119"/>
      <c r="BB531" s="119">
        <v>1</v>
      </c>
      <c r="BC531" s="119">
        <v>6</v>
      </c>
    </row>
    <row r="532" spans="1:55" ht="47.25" x14ac:dyDescent="0.25">
      <c r="A532" s="448" t="s">
        <v>806</v>
      </c>
      <c r="B532" s="449" t="s">
        <v>1553</v>
      </c>
      <c r="C532" s="450" t="s">
        <v>1529</v>
      </c>
      <c r="D532" s="450"/>
      <c r="E532" s="450" t="s">
        <v>61</v>
      </c>
      <c r="F532" s="450"/>
      <c r="G532" s="452"/>
      <c r="H532" s="452"/>
      <c r="I532" s="492"/>
      <c r="J532" s="492"/>
      <c r="K532" s="492"/>
      <c r="L532" s="492"/>
      <c r="M532" s="492"/>
      <c r="N532" s="492"/>
      <c r="O532" s="492"/>
      <c r="P532" s="492"/>
      <c r="Q532" s="492"/>
      <c r="R532" s="492"/>
      <c r="S532" s="492"/>
      <c r="T532" s="492"/>
      <c r="U532" s="492"/>
      <c r="V532" s="492"/>
      <c r="W532" s="492"/>
      <c r="X532" s="453">
        <v>1450</v>
      </c>
      <c r="Y532" s="453">
        <v>1430</v>
      </c>
      <c r="Z532" s="453"/>
      <c r="AA532" s="453"/>
      <c r="AB532" s="453"/>
      <c r="AC532" s="452"/>
      <c r="AD532" s="452"/>
      <c r="AE532" s="452"/>
      <c r="AF532" s="452"/>
      <c r="AG532" s="452"/>
      <c r="AH532" s="452"/>
      <c r="AI532" s="452"/>
      <c r="AJ532" s="454"/>
      <c r="AK532" s="454">
        <f t="shared" si="71"/>
        <v>0</v>
      </c>
      <c r="AL532" s="454">
        <f t="shared" si="72"/>
        <v>0</v>
      </c>
      <c r="AM532" s="454">
        <v>1450</v>
      </c>
      <c r="AN532" s="454">
        <v>1430</v>
      </c>
      <c r="AO532" s="454"/>
      <c r="AP532" s="454"/>
      <c r="AQ532" s="452"/>
      <c r="AR532" s="452"/>
      <c r="AS532" s="494">
        <v>1450</v>
      </c>
      <c r="AT532" s="494">
        <v>1430</v>
      </c>
      <c r="AU532" s="495"/>
      <c r="AV532" s="495"/>
      <c r="AW532" s="587"/>
      <c r="AX532" s="119"/>
      <c r="BB532" s="119">
        <v>1</v>
      </c>
      <c r="BC532" s="119">
        <v>6</v>
      </c>
    </row>
    <row r="533" spans="1:55" ht="47.25" x14ac:dyDescent="0.25">
      <c r="A533" s="448" t="s">
        <v>808</v>
      </c>
      <c r="B533" s="449" t="s">
        <v>1554</v>
      </c>
      <c r="C533" s="450" t="s">
        <v>89</v>
      </c>
      <c r="D533" s="450"/>
      <c r="E533" s="450" t="s">
        <v>61</v>
      </c>
      <c r="F533" s="450"/>
      <c r="G533" s="452"/>
      <c r="H533" s="452"/>
      <c r="I533" s="492"/>
      <c r="J533" s="492"/>
      <c r="K533" s="492"/>
      <c r="L533" s="492"/>
      <c r="M533" s="492"/>
      <c r="N533" s="492"/>
      <c r="O533" s="492"/>
      <c r="P533" s="492"/>
      <c r="Q533" s="492"/>
      <c r="R533" s="492"/>
      <c r="S533" s="492"/>
      <c r="T533" s="492"/>
      <c r="U533" s="492"/>
      <c r="V533" s="492"/>
      <c r="W533" s="492"/>
      <c r="X533" s="453">
        <v>2550</v>
      </c>
      <c r="Y533" s="453">
        <v>2500</v>
      </c>
      <c r="Z533" s="453"/>
      <c r="AA533" s="453"/>
      <c r="AB533" s="453"/>
      <c r="AC533" s="452"/>
      <c r="AD533" s="452"/>
      <c r="AE533" s="452"/>
      <c r="AF533" s="452"/>
      <c r="AG533" s="452"/>
      <c r="AH533" s="452"/>
      <c r="AI533" s="452"/>
      <c r="AJ533" s="454"/>
      <c r="AK533" s="454">
        <f t="shared" si="71"/>
        <v>0</v>
      </c>
      <c r="AL533" s="454">
        <f t="shared" si="72"/>
        <v>0</v>
      </c>
      <c r="AM533" s="454">
        <v>2550</v>
      </c>
      <c r="AN533" s="454">
        <v>2500</v>
      </c>
      <c r="AO533" s="454"/>
      <c r="AP533" s="454"/>
      <c r="AQ533" s="452"/>
      <c r="AR533" s="452"/>
      <c r="AS533" s="494">
        <v>2550</v>
      </c>
      <c r="AT533" s="494">
        <v>2500</v>
      </c>
      <c r="AU533" s="495"/>
      <c r="AV533" s="495"/>
      <c r="AW533" s="587"/>
      <c r="AX533" s="119"/>
      <c r="BB533" s="119">
        <v>1</v>
      </c>
      <c r="BC533" s="119">
        <v>6</v>
      </c>
    </row>
    <row r="534" spans="1:55" ht="31.5" x14ac:dyDescent="0.25">
      <c r="A534" s="448" t="s">
        <v>811</v>
      </c>
      <c r="B534" s="449" t="s">
        <v>1555</v>
      </c>
      <c r="C534" s="450" t="s">
        <v>1525</v>
      </c>
      <c r="D534" s="450"/>
      <c r="E534" s="450" t="s">
        <v>61</v>
      </c>
      <c r="F534" s="450"/>
      <c r="G534" s="452"/>
      <c r="H534" s="452"/>
      <c r="I534" s="492"/>
      <c r="J534" s="492"/>
      <c r="K534" s="492"/>
      <c r="L534" s="492"/>
      <c r="M534" s="492"/>
      <c r="N534" s="492"/>
      <c r="O534" s="492"/>
      <c r="P534" s="492"/>
      <c r="Q534" s="492"/>
      <c r="R534" s="492"/>
      <c r="S534" s="492"/>
      <c r="T534" s="492"/>
      <c r="U534" s="492"/>
      <c r="V534" s="492"/>
      <c r="W534" s="492"/>
      <c r="X534" s="453">
        <v>2500</v>
      </c>
      <c r="Y534" s="453">
        <v>2450</v>
      </c>
      <c r="Z534" s="453"/>
      <c r="AA534" s="453"/>
      <c r="AB534" s="453"/>
      <c r="AC534" s="452"/>
      <c r="AD534" s="452"/>
      <c r="AE534" s="452"/>
      <c r="AF534" s="452"/>
      <c r="AG534" s="452"/>
      <c r="AH534" s="452"/>
      <c r="AI534" s="452"/>
      <c r="AJ534" s="454"/>
      <c r="AK534" s="454">
        <v>2566</v>
      </c>
      <c r="AL534" s="454">
        <f t="shared" si="72"/>
        <v>0</v>
      </c>
      <c r="AM534" s="454">
        <v>5118</v>
      </c>
      <c r="AN534" s="454">
        <v>5016</v>
      </c>
      <c r="AO534" s="454"/>
      <c r="AP534" s="454"/>
      <c r="AQ534" s="452"/>
      <c r="AR534" s="452"/>
      <c r="AS534" s="494">
        <v>5118</v>
      </c>
      <c r="AT534" s="494">
        <v>5016</v>
      </c>
      <c r="AU534" s="495"/>
      <c r="AV534" s="495"/>
      <c r="AW534" s="587"/>
      <c r="AX534" s="119"/>
      <c r="BB534" s="119">
        <v>1</v>
      </c>
      <c r="BC534" s="119">
        <v>6</v>
      </c>
    </row>
    <row r="535" spans="1:55" ht="31.5" x14ac:dyDescent="0.25">
      <c r="A535" s="448" t="s">
        <v>813</v>
      </c>
      <c r="B535" s="449" t="s">
        <v>1556</v>
      </c>
      <c r="C535" s="450" t="s">
        <v>1527</v>
      </c>
      <c r="D535" s="450"/>
      <c r="E535" s="450" t="s">
        <v>61</v>
      </c>
      <c r="F535" s="450"/>
      <c r="G535" s="452"/>
      <c r="H535" s="452"/>
      <c r="I535" s="492"/>
      <c r="J535" s="492"/>
      <c r="K535" s="492"/>
      <c r="L535" s="492"/>
      <c r="M535" s="492"/>
      <c r="N535" s="492"/>
      <c r="O535" s="492"/>
      <c r="P535" s="492"/>
      <c r="Q535" s="492"/>
      <c r="R535" s="492"/>
      <c r="S535" s="492"/>
      <c r="T535" s="492"/>
      <c r="U535" s="492"/>
      <c r="V535" s="492"/>
      <c r="W535" s="492"/>
      <c r="X535" s="453">
        <v>1600</v>
      </c>
      <c r="Y535" s="453">
        <v>1566</v>
      </c>
      <c r="Z535" s="453"/>
      <c r="AA535" s="453"/>
      <c r="AB535" s="453"/>
      <c r="AC535" s="452"/>
      <c r="AD535" s="452"/>
      <c r="AE535" s="452"/>
      <c r="AF535" s="452"/>
      <c r="AG535" s="452"/>
      <c r="AH535" s="452"/>
      <c r="AI535" s="452"/>
      <c r="AJ535" s="454"/>
      <c r="AK535" s="454">
        <f t="shared" si="71"/>
        <v>0</v>
      </c>
      <c r="AL535" s="454">
        <f t="shared" si="72"/>
        <v>0</v>
      </c>
      <c r="AM535" s="454">
        <v>1600</v>
      </c>
      <c r="AN535" s="454">
        <v>1566</v>
      </c>
      <c r="AO535" s="454"/>
      <c r="AP535" s="454"/>
      <c r="AQ535" s="452"/>
      <c r="AR535" s="452"/>
      <c r="AS535" s="494">
        <v>1600</v>
      </c>
      <c r="AT535" s="494">
        <v>1566</v>
      </c>
      <c r="AU535" s="495"/>
      <c r="AV535" s="495"/>
      <c r="AW535" s="587"/>
      <c r="AX535" s="119"/>
      <c r="BB535" s="119">
        <v>1</v>
      </c>
      <c r="BC535" s="119">
        <v>2</v>
      </c>
    </row>
    <row r="536" spans="1:55" ht="31.5" x14ac:dyDescent="0.25">
      <c r="A536" s="448" t="s">
        <v>816</v>
      </c>
      <c r="B536" s="449" t="s">
        <v>1557</v>
      </c>
      <c r="C536" s="450" t="s">
        <v>1531</v>
      </c>
      <c r="D536" s="450"/>
      <c r="E536" s="450" t="s">
        <v>933</v>
      </c>
      <c r="F536" s="450"/>
      <c r="G536" s="452"/>
      <c r="H536" s="452"/>
      <c r="I536" s="492"/>
      <c r="J536" s="492"/>
      <c r="K536" s="492"/>
      <c r="L536" s="492"/>
      <c r="M536" s="492"/>
      <c r="N536" s="492"/>
      <c r="O536" s="492"/>
      <c r="P536" s="492"/>
      <c r="Q536" s="492"/>
      <c r="R536" s="492"/>
      <c r="S536" s="492"/>
      <c r="T536" s="492"/>
      <c r="U536" s="492"/>
      <c r="V536" s="492"/>
      <c r="W536" s="492"/>
      <c r="X536" s="453">
        <v>1350</v>
      </c>
      <c r="Y536" s="453">
        <v>1300</v>
      </c>
      <c r="Z536" s="453"/>
      <c r="AA536" s="453"/>
      <c r="AB536" s="453"/>
      <c r="AC536" s="452"/>
      <c r="AD536" s="452"/>
      <c r="AE536" s="452"/>
      <c r="AF536" s="452"/>
      <c r="AG536" s="452"/>
      <c r="AH536" s="452"/>
      <c r="AI536" s="452"/>
      <c r="AJ536" s="454"/>
      <c r="AK536" s="454">
        <f t="shared" si="71"/>
        <v>0</v>
      </c>
      <c r="AL536" s="454">
        <f t="shared" si="72"/>
        <v>0</v>
      </c>
      <c r="AM536" s="454">
        <v>1350</v>
      </c>
      <c r="AN536" s="454">
        <v>1300</v>
      </c>
      <c r="AO536" s="454"/>
      <c r="AP536" s="454"/>
      <c r="AQ536" s="452"/>
      <c r="AR536" s="452"/>
      <c r="AS536" s="494">
        <v>1350</v>
      </c>
      <c r="AT536" s="494">
        <v>1300</v>
      </c>
      <c r="AU536" s="495"/>
      <c r="AV536" s="495"/>
      <c r="AW536" s="587"/>
      <c r="AX536" s="119"/>
      <c r="BB536" s="119">
        <v>1</v>
      </c>
      <c r="BC536" s="119">
        <v>2</v>
      </c>
    </row>
    <row r="537" spans="1:55" ht="47.25" x14ac:dyDescent="0.25">
      <c r="A537" s="448" t="s">
        <v>819</v>
      </c>
      <c r="B537" s="449" t="s">
        <v>1558</v>
      </c>
      <c r="C537" s="450" t="s">
        <v>1546</v>
      </c>
      <c r="D537" s="450"/>
      <c r="E537" s="450" t="s">
        <v>1408</v>
      </c>
      <c r="F537" s="450"/>
      <c r="G537" s="452"/>
      <c r="H537" s="452"/>
      <c r="I537" s="492"/>
      <c r="J537" s="492"/>
      <c r="K537" s="492"/>
      <c r="L537" s="492"/>
      <c r="M537" s="492"/>
      <c r="N537" s="492"/>
      <c r="O537" s="492"/>
      <c r="P537" s="492"/>
      <c r="Q537" s="492"/>
      <c r="R537" s="492"/>
      <c r="S537" s="492"/>
      <c r="T537" s="492"/>
      <c r="U537" s="492"/>
      <c r="V537" s="492"/>
      <c r="W537" s="492"/>
      <c r="X537" s="453"/>
      <c r="Y537" s="453"/>
      <c r="Z537" s="453"/>
      <c r="AA537" s="453"/>
      <c r="AB537" s="453"/>
      <c r="AC537" s="452"/>
      <c r="AD537" s="452"/>
      <c r="AE537" s="452"/>
      <c r="AF537" s="452"/>
      <c r="AG537" s="452"/>
      <c r="AH537" s="452"/>
      <c r="AI537" s="452"/>
      <c r="AJ537" s="454"/>
      <c r="AK537" s="454">
        <v>7328</v>
      </c>
      <c r="AL537" s="454">
        <f t="shared" si="72"/>
        <v>0</v>
      </c>
      <c r="AM537" s="454">
        <v>7429</v>
      </c>
      <c r="AN537" s="454">
        <v>7328</v>
      </c>
      <c r="AO537" s="454"/>
      <c r="AP537" s="588"/>
      <c r="AQ537" s="589"/>
      <c r="AR537" s="589"/>
      <c r="AS537" s="494">
        <v>7429</v>
      </c>
      <c r="AT537" s="494">
        <v>7328</v>
      </c>
      <c r="AU537" s="495"/>
      <c r="AV537" s="495"/>
      <c r="AW537" s="149"/>
      <c r="AX537" s="119"/>
      <c r="BB537" s="119">
        <v>1</v>
      </c>
      <c r="BC537" s="119">
        <v>2</v>
      </c>
    </row>
    <row r="538" spans="1:55" ht="31.5" x14ac:dyDescent="0.25">
      <c r="A538" s="448" t="s">
        <v>821</v>
      </c>
      <c r="B538" s="449" t="s">
        <v>1559</v>
      </c>
      <c r="C538" s="450" t="s">
        <v>1525</v>
      </c>
      <c r="D538" s="450"/>
      <c r="E538" s="450" t="s">
        <v>1408</v>
      </c>
      <c r="F538" s="450"/>
      <c r="G538" s="452"/>
      <c r="H538" s="452"/>
      <c r="I538" s="492"/>
      <c r="J538" s="492"/>
      <c r="K538" s="492"/>
      <c r="L538" s="492"/>
      <c r="M538" s="492"/>
      <c r="N538" s="492"/>
      <c r="O538" s="492"/>
      <c r="P538" s="492"/>
      <c r="Q538" s="492"/>
      <c r="R538" s="492"/>
      <c r="S538" s="492"/>
      <c r="T538" s="492"/>
      <c r="U538" s="492"/>
      <c r="V538" s="492"/>
      <c r="W538" s="492"/>
      <c r="X538" s="453"/>
      <c r="Y538" s="453"/>
      <c r="Z538" s="453"/>
      <c r="AA538" s="453"/>
      <c r="AB538" s="453"/>
      <c r="AC538" s="452"/>
      <c r="AD538" s="452"/>
      <c r="AE538" s="452"/>
      <c r="AF538" s="452"/>
      <c r="AG538" s="452"/>
      <c r="AH538" s="452"/>
      <c r="AI538" s="452"/>
      <c r="AJ538" s="454"/>
      <c r="AK538" s="454">
        <v>2970</v>
      </c>
      <c r="AL538" s="454">
        <f t="shared" si="72"/>
        <v>0</v>
      </c>
      <c r="AM538" s="454">
        <v>3000</v>
      </c>
      <c r="AN538" s="454">
        <v>2970</v>
      </c>
      <c r="AO538" s="454"/>
      <c r="AP538" s="454"/>
      <c r="AQ538" s="452"/>
      <c r="AR538" s="452"/>
      <c r="AS538" s="494">
        <v>3000</v>
      </c>
      <c r="AT538" s="494">
        <v>2970</v>
      </c>
      <c r="AU538" s="495"/>
      <c r="AV538" s="495"/>
      <c r="AW538" s="149"/>
      <c r="AX538" s="119"/>
      <c r="BB538" s="119">
        <v>1</v>
      </c>
      <c r="BC538" s="119">
        <v>2</v>
      </c>
    </row>
    <row r="539" spans="1:55" ht="47.25" x14ac:dyDescent="0.25">
      <c r="A539" s="448" t="s">
        <v>823</v>
      </c>
      <c r="B539" s="449" t="s">
        <v>1560</v>
      </c>
      <c r="C539" s="450" t="s">
        <v>1519</v>
      </c>
      <c r="D539" s="450"/>
      <c r="E539" s="450" t="s">
        <v>933</v>
      </c>
      <c r="F539" s="450"/>
      <c r="G539" s="452"/>
      <c r="H539" s="452"/>
      <c r="I539" s="492"/>
      <c r="J539" s="492"/>
      <c r="K539" s="492"/>
      <c r="L539" s="492"/>
      <c r="M539" s="492"/>
      <c r="N539" s="492"/>
      <c r="O539" s="492"/>
      <c r="P539" s="492"/>
      <c r="Q539" s="492"/>
      <c r="R539" s="492"/>
      <c r="S539" s="492"/>
      <c r="T539" s="492"/>
      <c r="U539" s="492"/>
      <c r="V539" s="492"/>
      <c r="W539" s="492"/>
      <c r="X539" s="453">
        <v>1518</v>
      </c>
      <c r="Y539" s="453">
        <v>1518</v>
      </c>
      <c r="Z539" s="453"/>
      <c r="AA539" s="453"/>
      <c r="AB539" s="453"/>
      <c r="AC539" s="452"/>
      <c r="AD539" s="452"/>
      <c r="AE539" s="452"/>
      <c r="AF539" s="452"/>
      <c r="AG539" s="452"/>
      <c r="AH539" s="452"/>
      <c r="AI539" s="452"/>
      <c r="AJ539" s="454"/>
      <c r="AK539" s="454">
        <f t="shared" si="71"/>
        <v>0</v>
      </c>
      <c r="AL539" s="454">
        <f t="shared" si="72"/>
        <v>1518</v>
      </c>
      <c r="AM539" s="454"/>
      <c r="AN539" s="454"/>
      <c r="AO539" s="454"/>
      <c r="AP539" s="454"/>
      <c r="AQ539" s="452"/>
      <c r="AR539" s="452"/>
      <c r="AS539" s="494"/>
      <c r="AT539" s="494"/>
      <c r="AU539" s="495"/>
      <c r="AV539" s="495"/>
      <c r="AW539" s="149"/>
      <c r="AX539" s="119"/>
      <c r="BB539" s="119">
        <v>1</v>
      </c>
      <c r="BC539" s="119">
        <v>2</v>
      </c>
    </row>
    <row r="540" spans="1:55" ht="31.5" x14ac:dyDescent="0.25">
      <c r="A540" s="448" t="s">
        <v>825</v>
      </c>
      <c r="B540" s="449" t="s">
        <v>1561</v>
      </c>
      <c r="C540" s="450" t="s">
        <v>1527</v>
      </c>
      <c r="D540" s="450"/>
      <c r="E540" s="450" t="s">
        <v>61</v>
      </c>
      <c r="F540" s="450"/>
      <c r="G540" s="452"/>
      <c r="H540" s="452"/>
      <c r="I540" s="492"/>
      <c r="J540" s="492"/>
      <c r="K540" s="492"/>
      <c r="L540" s="492"/>
      <c r="M540" s="492"/>
      <c r="N540" s="492"/>
      <c r="O540" s="492"/>
      <c r="P540" s="492"/>
      <c r="Q540" s="492"/>
      <c r="R540" s="492"/>
      <c r="S540" s="492"/>
      <c r="T540" s="492"/>
      <c r="U540" s="492"/>
      <c r="V540" s="492"/>
      <c r="W540" s="492"/>
      <c r="X540" s="453">
        <v>1000</v>
      </c>
      <c r="Y540" s="453">
        <v>990</v>
      </c>
      <c r="Z540" s="453"/>
      <c r="AA540" s="453"/>
      <c r="AB540" s="453"/>
      <c r="AC540" s="452"/>
      <c r="AD540" s="452"/>
      <c r="AE540" s="452"/>
      <c r="AF540" s="452"/>
      <c r="AG540" s="452"/>
      <c r="AH540" s="452"/>
      <c r="AI540" s="452"/>
      <c r="AJ540" s="454"/>
      <c r="AK540" s="454">
        <f t="shared" si="71"/>
        <v>0</v>
      </c>
      <c r="AL540" s="454">
        <f t="shared" si="72"/>
        <v>990</v>
      </c>
      <c r="AM540" s="454"/>
      <c r="AN540" s="454"/>
      <c r="AO540" s="454"/>
      <c r="AP540" s="454"/>
      <c r="AQ540" s="452"/>
      <c r="AR540" s="452"/>
      <c r="AS540" s="494"/>
      <c r="AT540" s="494"/>
      <c r="AU540" s="495"/>
      <c r="AV540" s="495"/>
      <c r="AW540" s="149"/>
      <c r="AX540" s="119"/>
      <c r="BB540" s="119">
        <v>1</v>
      </c>
      <c r="BC540" s="119">
        <v>2</v>
      </c>
    </row>
    <row r="541" spans="1:55" ht="47.25" x14ac:dyDescent="0.25">
      <c r="A541" s="448" t="s">
        <v>827</v>
      </c>
      <c r="B541" s="449" t="s">
        <v>1562</v>
      </c>
      <c r="C541" s="450" t="s">
        <v>1519</v>
      </c>
      <c r="D541" s="450"/>
      <c r="E541" s="450" t="s">
        <v>933</v>
      </c>
      <c r="F541" s="450"/>
      <c r="G541" s="452"/>
      <c r="H541" s="452"/>
      <c r="I541" s="492"/>
      <c r="J541" s="492"/>
      <c r="K541" s="492"/>
      <c r="L541" s="492"/>
      <c r="M541" s="492"/>
      <c r="N541" s="492"/>
      <c r="O541" s="492"/>
      <c r="P541" s="492"/>
      <c r="Q541" s="492"/>
      <c r="R541" s="492"/>
      <c r="S541" s="492"/>
      <c r="T541" s="492"/>
      <c r="U541" s="492"/>
      <c r="V541" s="492"/>
      <c r="W541" s="492"/>
      <c r="X541" s="453">
        <v>3000</v>
      </c>
      <c r="Y541" s="453">
        <v>2970</v>
      </c>
      <c r="Z541" s="453"/>
      <c r="AA541" s="453"/>
      <c r="AB541" s="453"/>
      <c r="AC541" s="452"/>
      <c r="AD541" s="452"/>
      <c r="AE541" s="452"/>
      <c r="AF541" s="452"/>
      <c r="AG541" s="452"/>
      <c r="AH541" s="452"/>
      <c r="AI541" s="452"/>
      <c r="AJ541" s="454"/>
      <c r="AK541" s="454">
        <f t="shared" si="71"/>
        <v>0</v>
      </c>
      <c r="AL541" s="454">
        <f t="shared" si="72"/>
        <v>2970</v>
      </c>
      <c r="AM541" s="454"/>
      <c r="AN541" s="454"/>
      <c r="AO541" s="454"/>
      <c r="AP541" s="454"/>
      <c r="AQ541" s="452"/>
      <c r="AR541" s="452"/>
      <c r="AS541" s="494"/>
      <c r="AT541" s="494"/>
      <c r="AU541" s="495"/>
      <c r="AV541" s="495"/>
      <c r="AW541" s="147"/>
      <c r="AX541" s="119"/>
      <c r="BB541" s="119">
        <v>1</v>
      </c>
      <c r="BC541" s="119">
        <v>2</v>
      </c>
    </row>
    <row r="542" spans="1:55" ht="47.25" x14ac:dyDescent="0.25">
      <c r="A542" s="448" t="s">
        <v>829</v>
      </c>
      <c r="B542" s="449" t="s">
        <v>1563</v>
      </c>
      <c r="C542" s="450" t="s">
        <v>89</v>
      </c>
      <c r="D542" s="450"/>
      <c r="E542" s="450" t="s">
        <v>933</v>
      </c>
      <c r="F542" s="450"/>
      <c r="G542" s="452"/>
      <c r="H542" s="452"/>
      <c r="I542" s="492"/>
      <c r="J542" s="492"/>
      <c r="K542" s="492"/>
      <c r="L542" s="492"/>
      <c r="M542" s="492"/>
      <c r="N542" s="492"/>
      <c r="O542" s="492"/>
      <c r="P542" s="492"/>
      <c r="Q542" s="492"/>
      <c r="R542" s="492"/>
      <c r="S542" s="492"/>
      <c r="T542" s="492"/>
      <c r="U542" s="492"/>
      <c r="V542" s="492"/>
      <c r="W542" s="492"/>
      <c r="X542" s="453">
        <v>3000</v>
      </c>
      <c r="Y542" s="453">
        <v>2970</v>
      </c>
      <c r="Z542" s="453"/>
      <c r="AA542" s="453"/>
      <c r="AB542" s="453"/>
      <c r="AC542" s="452"/>
      <c r="AD542" s="452"/>
      <c r="AE542" s="452"/>
      <c r="AF542" s="452"/>
      <c r="AG542" s="452"/>
      <c r="AH542" s="452"/>
      <c r="AI542" s="452"/>
      <c r="AJ542" s="454"/>
      <c r="AK542" s="454">
        <f t="shared" si="71"/>
        <v>0</v>
      </c>
      <c r="AL542" s="454">
        <f t="shared" si="72"/>
        <v>2970</v>
      </c>
      <c r="AM542" s="454"/>
      <c r="AN542" s="454"/>
      <c r="AO542" s="454"/>
      <c r="AP542" s="454"/>
      <c r="AQ542" s="452"/>
      <c r="AR542" s="452"/>
      <c r="AS542" s="494"/>
      <c r="AT542" s="494"/>
      <c r="AU542" s="495"/>
      <c r="AV542" s="495"/>
      <c r="AW542" s="147"/>
      <c r="AX542" s="119"/>
      <c r="BB542" s="119">
        <v>1</v>
      </c>
      <c r="BC542" s="119">
        <v>6</v>
      </c>
    </row>
    <row r="543" spans="1:55" ht="47.25" x14ac:dyDescent="0.25">
      <c r="A543" s="448" t="s">
        <v>831</v>
      </c>
      <c r="B543" s="449" t="s">
        <v>1564</v>
      </c>
      <c r="C543" s="450" t="s">
        <v>1546</v>
      </c>
      <c r="D543" s="450"/>
      <c r="E543" s="450" t="s">
        <v>933</v>
      </c>
      <c r="F543" s="450"/>
      <c r="G543" s="452"/>
      <c r="H543" s="452"/>
      <c r="I543" s="492"/>
      <c r="J543" s="492"/>
      <c r="K543" s="492"/>
      <c r="L543" s="492"/>
      <c r="M543" s="492"/>
      <c r="N543" s="492"/>
      <c r="O543" s="492"/>
      <c r="P543" s="492"/>
      <c r="Q543" s="492"/>
      <c r="R543" s="492"/>
      <c r="S543" s="492"/>
      <c r="T543" s="492"/>
      <c r="U543" s="492"/>
      <c r="V543" s="492"/>
      <c r="W543" s="492"/>
      <c r="X543" s="453">
        <v>3000</v>
      </c>
      <c r="Y543" s="453">
        <v>2970</v>
      </c>
      <c r="Z543" s="453"/>
      <c r="AA543" s="453"/>
      <c r="AB543" s="453"/>
      <c r="AC543" s="452"/>
      <c r="AD543" s="452"/>
      <c r="AE543" s="452"/>
      <c r="AF543" s="452"/>
      <c r="AG543" s="452"/>
      <c r="AH543" s="452"/>
      <c r="AI543" s="452"/>
      <c r="AJ543" s="454"/>
      <c r="AK543" s="454">
        <f t="shared" si="71"/>
        <v>0</v>
      </c>
      <c r="AL543" s="454">
        <f t="shared" si="72"/>
        <v>2970</v>
      </c>
      <c r="AM543" s="454"/>
      <c r="AN543" s="454"/>
      <c r="AO543" s="454"/>
      <c r="AP543" s="454"/>
      <c r="AQ543" s="452"/>
      <c r="AR543" s="452"/>
      <c r="AS543" s="494"/>
      <c r="AT543" s="494"/>
      <c r="AU543" s="495"/>
      <c r="AV543" s="495"/>
      <c r="AW543" s="149"/>
      <c r="AX543" s="119"/>
      <c r="BB543" s="119">
        <v>1</v>
      </c>
      <c r="BC543" s="119">
        <v>2</v>
      </c>
    </row>
    <row r="544" spans="1:55" ht="39" customHeight="1" x14ac:dyDescent="0.25">
      <c r="A544" s="426" t="s">
        <v>717</v>
      </c>
      <c r="B544" s="427" t="s">
        <v>1565</v>
      </c>
      <c r="C544" s="464"/>
      <c r="D544" s="464"/>
      <c r="E544" s="464"/>
      <c r="F544" s="464"/>
      <c r="G544" s="465">
        <f>+G545+G546</f>
        <v>147475</v>
      </c>
      <c r="H544" s="465">
        <f t="shared" ref="H544:AV544" si="73">+H545+H546</f>
        <v>128906.99999999999</v>
      </c>
      <c r="I544" s="465">
        <f t="shared" si="73"/>
        <v>0</v>
      </c>
      <c r="J544" s="465">
        <f t="shared" si="73"/>
        <v>0</v>
      </c>
      <c r="K544" s="465">
        <f t="shared" si="73"/>
        <v>0</v>
      </c>
      <c r="L544" s="465">
        <f t="shared" si="73"/>
        <v>4000</v>
      </c>
      <c r="M544" s="465">
        <f t="shared" si="73"/>
        <v>0</v>
      </c>
      <c r="N544" s="465">
        <f t="shared" si="73"/>
        <v>4000</v>
      </c>
      <c r="O544" s="465">
        <f t="shared" si="73"/>
        <v>0</v>
      </c>
      <c r="P544" s="465" t="e">
        <f t="shared" si="73"/>
        <v>#REF!</v>
      </c>
      <c r="Q544" s="465" t="e">
        <f t="shared" si="73"/>
        <v>#REF!</v>
      </c>
      <c r="R544" s="465" t="e">
        <f t="shared" si="73"/>
        <v>#REF!</v>
      </c>
      <c r="S544" s="465" t="e">
        <f t="shared" si="73"/>
        <v>#REF!</v>
      </c>
      <c r="T544" s="465" t="e">
        <f t="shared" si="73"/>
        <v>#REF!</v>
      </c>
      <c r="U544" s="465" t="e">
        <f t="shared" si="73"/>
        <v>#REF!</v>
      </c>
      <c r="V544" s="465" t="e">
        <f t="shared" si="73"/>
        <v>#REF!</v>
      </c>
      <c r="W544" s="465" t="e">
        <f t="shared" si="73"/>
        <v>#REF!</v>
      </c>
      <c r="X544" s="465" t="e">
        <f t="shared" si="73"/>
        <v>#REF!</v>
      </c>
      <c r="Y544" s="465" t="e">
        <f t="shared" si="73"/>
        <v>#REF!</v>
      </c>
      <c r="Z544" s="465" t="e">
        <f t="shared" si="73"/>
        <v>#REF!</v>
      </c>
      <c r="AA544" s="465" t="e">
        <f t="shared" si="73"/>
        <v>#REF!</v>
      </c>
      <c r="AB544" s="465" t="e">
        <f t="shared" si="73"/>
        <v>#REF!</v>
      </c>
      <c r="AC544" s="465" t="e">
        <f t="shared" si="73"/>
        <v>#REF!</v>
      </c>
      <c r="AD544" s="465" t="e">
        <f t="shared" si="73"/>
        <v>#REF!</v>
      </c>
      <c r="AE544" s="465" t="e">
        <f t="shared" si="73"/>
        <v>#REF!</v>
      </c>
      <c r="AF544" s="465" t="e">
        <f t="shared" si="73"/>
        <v>#REF!</v>
      </c>
      <c r="AG544" s="465" t="e">
        <f t="shared" si="73"/>
        <v>#REF!</v>
      </c>
      <c r="AH544" s="465" t="e">
        <f t="shared" si="73"/>
        <v>#REF!</v>
      </c>
      <c r="AI544" s="465" t="e">
        <f t="shared" si="73"/>
        <v>#REF!</v>
      </c>
      <c r="AJ544" s="465" t="e">
        <f t="shared" si="73"/>
        <v>#REF!</v>
      </c>
      <c r="AK544" s="465" t="e">
        <f t="shared" si="73"/>
        <v>#REF!</v>
      </c>
      <c r="AL544" s="465" t="e">
        <f t="shared" si="73"/>
        <v>#REF!</v>
      </c>
      <c r="AM544" s="466">
        <f t="shared" si="73"/>
        <v>142853</v>
      </c>
      <c r="AN544" s="466">
        <f t="shared" si="73"/>
        <v>128906.99999999999</v>
      </c>
      <c r="AO544" s="466">
        <f t="shared" si="73"/>
        <v>0</v>
      </c>
      <c r="AP544" s="466">
        <f t="shared" si="73"/>
        <v>0</v>
      </c>
      <c r="AQ544" s="467">
        <f t="shared" si="73"/>
        <v>0</v>
      </c>
      <c r="AR544" s="467">
        <f t="shared" si="73"/>
        <v>0</v>
      </c>
      <c r="AS544" s="467">
        <f t="shared" si="73"/>
        <v>142853</v>
      </c>
      <c r="AT544" s="467">
        <f t="shared" si="73"/>
        <v>128906.99999999999</v>
      </c>
      <c r="AU544" s="466">
        <f t="shared" si="73"/>
        <v>0</v>
      </c>
      <c r="AV544" s="466">
        <f t="shared" si="73"/>
        <v>0</v>
      </c>
      <c r="AW544" s="149"/>
      <c r="AX544" s="119"/>
      <c r="BB544" s="119">
        <v>1</v>
      </c>
      <c r="BC544" s="119">
        <v>2</v>
      </c>
    </row>
    <row r="545" spans="1:55" ht="47.25" x14ac:dyDescent="0.25">
      <c r="A545" s="469" t="s">
        <v>730</v>
      </c>
      <c r="B545" s="470" t="s">
        <v>731</v>
      </c>
      <c r="C545" s="471"/>
      <c r="D545" s="471"/>
      <c r="E545" s="471"/>
      <c r="F545" s="471"/>
      <c r="G545" s="472">
        <v>13700</v>
      </c>
      <c r="H545" s="472">
        <v>4622</v>
      </c>
      <c r="I545" s="473"/>
      <c r="J545" s="473"/>
      <c r="K545" s="473"/>
      <c r="L545" s="473">
        <v>4000</v>
      </c>
      <c r="M545" s="473"/>
      <c r="N545" s="473">
        <v>4000</v>
      </c>
      <c r="O545" s="473"/>
      <c r="P545" s="473"/>
      <c r="Q545" s="473"/>
      <c r="R545" s="473"/>
      <c r="S545" s="473"/>
      <c r="T545" s="473"/>
      <c r="U545" s="473"/>
      <c r="V545" s="473"/>
      <c r="W545" s="473"/>
      <c r="X545" s="474">
        <f>+G545-Y545</f>
        <v>9078</v>
      </c>
      <c r="Y545" s="474">
        <v>4622</v>
      </c>
      <c r="Z545" s="474">
        <v>0</v>
      </c>
      <c r="AA545" s="474">
        <v>0</v>
      </c>
      <c r="AB545" s="474"/>
      <c r="AC545" s="472"/>
      <c r="AD545" s="472">
        <v>9078</v>
      </c>
      <c r="AE545" s="472">
        <v>4622</v>
      </c>
      <c r="AF545" s="472"/>
      <c r="AG545" s="472"/>
      <c r="AH545" s="472">
        <v>0</v>
      </c>
      <c r="AI545" s="472">
        <v>0</v>
      </c>
      <c r="AJ545" s="475">
        <v>0</v>
      </c>
      <c r="AK545" s="475">
        <f>IF(AN545-Y545&gt;0,AM545-Y545,0)</f>
        <v>0</v>
      </c>
      <c r="AL545" s="475">
        <f>IF(Y545-AN545&gt;0,Y545-AN545,0)</f>
        <v>0</v>
      </c>
      <c r="AM545" s="474">
        <v>9078</v>
      </c>
      <c r="AN545" s="474">
        <v>4622</v>
      </c>
      <c r="AO545" s="475"/>
      <c r="AP545" s="475"/>
      <c r="AQ545" s="472"/>
      <c r="AR545" s="472"/>
      <c r="AS545" s="528">
        <v>9078</v>
      </c>
      <c r="AT545" s="528">
        <v>4622</v>
      </c>
      <c r="AU545" s="495"/>
      <c r="AV545" s="495"/>
      <c r="AW545" s="149"/>
      <c r="AX545" s="119"/>
      <c r="BB545" s="119">
        <v>1</v>
      </c>
      <c r="BC545" s="119">
        <v>2</v>
      </c>
    </row>
    <row r="546" spans="1:55" ht="31.5" x14ac:dyDescent="0.25">
      <c r="A546" s="469" t="s">
        <v>100</v>
      </c>
      <c r="B546" s="470" t="s">
        <v>1517</v>
      </c>
      <c r="C546" s="471"/>
      <c r="D546" s="471"/>
      <c r="E546" s="471"/>
      <c r="F546" s="471"/>
      <c r="G546" s="472">
        <f t="shared" ref="G546:AV546" si="74">+SUM(G547:G584)</f>
        <v>133775</v>
      </c>
      <c r="H546" s="472">
        <f t="shared" si="74"/>
        <v>124284.99999999999</v>
      </c>
      <c r="I546" s="472">
        <f t="shared" si="74"/>
        <v>0</v>
      </c>
      <c r="J546" s="472">
        <f t="shared" si="74"/>
        <v>0</v>
      </c>
      <c r="K546" s="472">
        <f t="shared" si="74"/>
        <v>0</v>
      </c>
      <c r="L546" s="472">
        <f t="shared" si="74"/>
        <v>0</v>
      </c>
      <c r="M546" s="472">
        <f t="shared" si="74"/>
        <v>0</v>
      </c>
      <c r="N546" s="472">
        <f t="shared" si="74"/>
        <v>0</v>
      </c>
      <c r="O546" s="472">
        <f t="shared" si="74"/>
        <v>0</v>
      </c>
      <c r="P546" s="472" t="e">
        <f t="shared" si="74"/>
        <v>#REF!</v>
      </c>
      <c r="Q546" s="472" t="e">
        <f t="shared" si="74"/>
        <v>#REF!</v>
      </c>
      <c r="R546" s="472" t="e">
        <f t="shared" si="74"/>
        <v>#REF!</v>
      </c>
      <c r="S546" s="472" t="e">
        <f t="shared" si="74"/>
        <v>#REF!</v>
      </c>
      <c r="T546" s="472" t="e">
        <f t="shared" si="74"/>
        <v>#REF!</v>
      </c>
      <c r="U546" s="472" t="e">
        <f t="shared" si="74"/>
        <v>#REF!</v>
      </c>
      <c r="V546" s="472" t="e">
        <f t="shared" si="74"/>
        <v>#REF!</v>
      </c>
      <c r="W546" s="472" t="e">
        <f t="shared" si="74"/>
        <v>#REF!</v>
      </c>
      <c r="X546" s="472" t="e">
        <f t="shared" si="74"/>
        <v>#REF!</v>
      </c>
      <c r="Y546" s="472" t="e">
        <f t="shared" si="74"/>
        <v>#REF!</v>
      </c>
      <c r="Z546" s="472" t="e">
        <f t="shared" si="74"/>
        <v>#REF!</v>
      </c>
      <c r="AA546" s="472" t="e">
        <f t="shared" si="74"/>
        <v>#REF!</v>
      </c>
      <c r="AB546" s="472" t="e">
        <f t="shared" si="74"/>
        <v>#REF!</v>
      </c>
      <c r="AC546" s="472" t="e">
        <f t="shared" si="74"/>
        <v>#REF!</v>
      </c>
      <c r="AD546" s="472" t="e">
        <f t="shared" si="74"/>
        <v>#REF!</v>
      </c>
      <c r="AE546" s="472" t="e">
        <f t="shared" si="74"/>
        <v>#REF!</v>
      </c>
      <c r="AF546" s="472" t="e">
        <f t="shared" si="74"/>
        <v>#REF!</v>
      </c>
      <c r="AG546" s="472" t="e">
        <f t="shared" si="74"/>
        <v>#REF!</v>
      </c>
      <c r="AH546" s="472" t="e">
        <f t="shared" si="74"/>
        <v>#REF!</v>
      </c>
      <c r="AI546" s="472" t="e">
        <f t="shared" si="74"/>
        <v>#REF!</v>
      </c>
      <c r="AJ546" s="472" t="e">
        <f t="shared" si="74"/>
        <v>#REF!</v>
      </c>
      <c r="AK546" s="472" t="e">
        <f t="shared" si="74"/>
        <v>#REF!</v>
      </c>
      <c r="AL546" s="472" t="e">
        <f t="shared" si="74"/>
        <v>#REF!</v>
      </c>
      <c r="AM546" s="490">
        <f t="shared" si="74"/>
        <v>133775</v>
      </c>
      <c r="AN546" s="490">
        <f t="shared" si="74"/>
        <v>124284.99999999999</v>
      </c>
      <c r="AO546" s="490">
        <f t="shared" si="74"/>
        <v>0</v>
      </c>
      <c r="AP546" s="490">
        <f t="shared" si="74"/>
        <v>0</v>
      </c>
      <c r="AQ546" s="477">
        <f t="shared" si="74"/>
        <v>0</v>
      </c>
      <c r="AR546" s="477">
        <f t="shared" si="74"/>
        <v>0</v>
      </c>
      <c r="AS546" s="477">
        <f t="shared" si="74"/>
        <v>133775</v>
      </c>
      <c r="AT546" s="477">
        <f t="shared" si="74"/>
        <v>124284.99999999999</v>
      </c>
      <c r="AU546" s="490">
        <f t="shared" si="74"/>
        <v>0</v>
      </c>
      <c r="AV546" s="490">
        <f t="shared" si="74"/>
        <v>0</v>
      </c>
      <c r="AW546" s="149"/>
      <c r="AX546" s="119"/>
      <c r="BB546" s="119">
        <v>1</v>
      </c>
      <c r="BC546" s="119">
        <v>2</v>
      </c>
    </row>
    <row r="547" spans="1:55" ht="31.5" x14ac:dyDescent="0.25">
      <c r="A547" s="590" t="s">
        <v>688</v>
      </c>
      <c r="B547" s="146" t="s">
        <v>1566</v>
      </c>
      <c r="C547" s="812" t="s">
        <v>1567</v>
      </c>
      <c r="D547" s="591"/>
      <c r="E547" s="591" t="s">
        <v>70</v>
      </c>
      <c r="F547" s="591"/>
      <c r="G547" s="592">
        <v>3000</v>
      </c>
      <c r="H547" s="592">
        <v>1266</v>
      </c>
      <c r="I547" s="593"/>
      <c r="J547" s="593"/>
      <c r="K547" s="593"/>
      <c r="L547" s="593"/>
      <c r="M547" s="593"/>
      <c r="N547" s="593"/>
      <c r="O547" s="593"/>
      <c r="P547" s="593"/>
      <c r="Q547" s="593"/>
      <c r="R547" s="593"/>
      <c r="S547" s="593"/>
      <c r="T547" s="593"/>
      <c r="U547" s="593"/>
      <c r="V547" s="593"/>
      <c r="W547" s="593"/>
      <c r="X547" s="64">
        <v>3000</v>
      </c>
      <c r="Y547" s="64">
        <v>1273</v>
      </c>
      <c r="Z547" s="64"/>
      <c r="AA547" s="64"/>
      <c r="AB547" s="64"/>
      <c r="AC547" s="594"/>
      <c r="AD547" s="594">
        <v>1727</v>
      </c>
      <c r="AE547" s="594"/>
      <c r="AF547" s="594"/>
      <c r="AG547" s="594"/>
      <c r="AH547" s="594">
        <v>1238</v>
      </c>
      <c r="AI547" s="594">
        <v>1238</v>
      </c>
      <c r="AJ547" s="595"/>
      <c r="AK547" s="595">
        <f t="shared" ref="AK547:AK574" si="75">IF(AN547-Y547&gt;0,AM547-Y547,0)</f>
        <v>0</v>
      </c>
      <c r="AL547" s="595">
        <f t="shared" ref="AL547:AL580" si="76">IF(Y547-AN547&gt;0,Y547-AN547,0)</f>
        <v>7</v>
      </c>
      <c r="AM547" s="592">
        <v>3000</v>
      </c>
      <c r="AN547" s="592">
        <v>1266</v>
      </c>
      <c r="AO547" s="595"/>
      <c r="AP547" s="595"/>
      <c r="AQ547" s="594"/>
      <c r="AR547" s="594"/>
      <c r="AS547" s="596">
        <v>3000</v>
      </c>
      <c r="AT547" s="596">
        <v>1266</v>
      </c>
      <c r="AU547" s="597"/>
      <c r="AV547" s="597"/>
      <c r="AW547" s="149"/>
      <c r="AX547" s="119"/>
    </row>
    <row r="548" spans="1:55" ht="31.5" x14ac:dyDescent="0.25">
      <c r="A548" s="590" t="s">
        <v>693</v>
      </c>
      <c r="B548" s="146" t="s">
        <v>1568</v>
      </c>
      <c r="C548" s="812" t="s">
        <v>1569</v>
      </c>
      <c r="D548" s="591"/>
      <c r="E548" s="591" t="s">
        <v>70</v>
      </c>
      <c r="F548" s="591"/>
      <c r="G548" s="592">
        <v>3000</v>
      </c>
      <c r="H548" s="592">
        <v>1238</v>
      </c>
      <c r="I548" s="593"/>
      <c r="J548" s="593"/>
      <c r="K548" s="593"/>
      <c r="L548" s="593"/>
      <c r="M548" s="593"/>
      <c r="N548" s="593"/>
      <c r="O548" s="593"/>
      <c r="P548" s="593"/>
      <c r="Q548" s="593"/>
      <c r="R548" s="593"/>
      <c r="S548" s="593"/>
      <c r="T548" s="593"/>
      <c r="U548" s="593"/>
      <c r="V548" s="593"/>
      <c r="W548" s="593"/>
      <c r="X548" s="64">
        <v>3000</v>
      </c>
      <c r="Y548" s="64">
        <v>1273</v>
      </c>
      <c r="Z548" s="64"/>
      <c r="AA548" s="64"/>
      <c r="AB548" s="64"/>
      <c r="AC548" s="594"/>
      <c r="AD548" s="594">
        <v>1727</v>
      </c>
      <c r="AE548" s="594"/>
      <c r="AF548" s="594"/>
      <c r="AG548" s="594"/>
      <c r="AH548" s="594">
        <v>1266</v>
      </c>
      <c r="AI548" s="594">
        <v>1266</v>
      </c>
      <c r="AJ548" s="595"/>
      <c r="AK548" s="595">
        <f t="shared" si="75"/>
        <v>0</v>
      </c>
      <c r="AL548" s="595">
        <f t="shared" si="76"/>
        <v>35</v>
      </c>
      <c r="AM548" s="592">
        <v>3000</v>
      </c>
      <c r="AN548" s="592">
        <v>1238</v>
      </c>
      <c r="AO548" s="595"/>
      <c r="AP548" s="595"/>
      <c r="AQ548" s="594"/>
      <c r="AR548" s="594"/>
      <c r="AS548" s="596">
        <v>3000</v>
      </c>
      <c r="AT548" s="596">
        <v>1238</v>
      </c>
      <c r="AU548" s="597"/>
      <c r="AV548" s="597"/>
      <c r="AW548" s="149"/>
      <c r="AX548" s="119"/>
    </row>
    <row r="549" spans="1:55" ht="31.5" x14ac:dyDescent="0.25">
      <c r="A549" s="590" t="s">
        <v>696</v>
      </c>
      <c r="B549" s="146" t="s">
        <v>1570</v>
      </c>
      <c r="C549" s="812" t="s">
        <v>90</v>
      </c>
      <c r="D549" s="591"/>
      <c r="E549" s="591" t="s">
        <v>55</v>
      </c>
      <c r="F549" s="591"/>
      <c r="G549" s="592">
        <v>1200</v>
      </c>
      <c r="H549" s="592">
        <v>1170</v>
      </c>
      <c r="I549" s="593"/>
      <c r="J549" s="593"/>
      <c r="K549" s="593"/>
      <c r="L549" s="593"/>
      <c r="M549" s="593"/>
      <c r="N549" s="593"/>
      <c r="O549" s="593"/>
      <c r="P549" s="593"/>
      <c r="Q549" s="593"/>
      <c r="R549" s="593"/>
      <c r="S549" s="593"/>
      <c r="T549" s="593"/>
      <c r="U549" s="593"/>
      <c r="V549" s="593"/>
      <c r="W549" s="593"/>
      <c r="X549" s="64">
        <v>1200</v>
      </c>
      <c r="Y549" s="64">
        <v>1000</v>
      </c>
      <c r="Z549" s="64"/>
      <c r="AA549" s="64"/>
      <c r="AB549" s="64"/>
      <c r="AC549" s="594"/>
      <c r="AD549" s="594"/>
      <c r="AE549" s="594"/>
      <c r="AF549" s="594"/>
      <c r="AG549" s="594"/>
      <c r="AH549" s="594">
        <v>1000</v>
      </c>
      <c r="AI549" s="594">
        <v>1000</v>
      </c>
      <c r="AJ549" s="595"/>
      <c r="AK549" s="595">
        <f t="shared" si="75"/>
        <v>200</v>
      </c>
      <c r="AL549" s="595">
        <f t="shared" si="76"/>
        <v>0</v>
      </c>
      <c r="AM549" s="592">
        <v>1200</v>
      </c>
      <c r="AN549" s="592">
        <v>1170</v>
      </c>
      <c r="AO549" s="595"/>
      <c r="AP549" s="595"/>
      <c r="AQ549" s="594"/>
      <c r="AR549" s="598"/>
      <c r="AS549" s="596">
        <v>1200</v>
      </c>
      <c r="AT549" s="596">
        <v>1170</v>
      </c>
      <c r="AU549" s="595"/>
      <c r="AV549" s="595"/>
      <c r="AW549" s="149"/>
      <c r="AX549" s="119"/>
    </row>
    <row r="550" spans="1:55" ht="31.5" x14ac:dyDescent="0.25">
      <c r="A550" s="590" t="s">
        <v>700</v>
      </c>
      <c r="B550" s="146" t="s">
        <v>1571</v>
      </c>
      <c r="C550" s="812" t="s">
        <v>1569</v>
      </c>
      <c r="D550" s="591"/>
      <c r="E550" s="591" t="s">
        <v>55</v>
      </c>
      <c r="F550" s="591"/>
      <c r="G550" s="592">
        <v>4990</v>
      </c>
      <c r="H550" s="593">
        <v>4975</v>
      </c>
      <c r="I550" s="593"/>
      <c r="J550" s="593"/>
      <c r="K550" s="593"/>
      <c r="L550" s="593"/>
      <c r="M550" s="593"/>
      <c r="N550" s="593"/>
      <c r="O550" s="593"/>
      <c r="P550" s="593"/>
      <c r="Q550" s="593"/>
      <c r="R550" s="593"/>
      <c r="S550" s="593"/>
      <c r="T550" s="593"/>
      <c r="U550" s="593"/>
      <c r="V550" s="593"/>
      <c r="W550" s="593"/>
      <c r="X550" s="64">
        <v>4990</v>
      </c>
      <c r="Y550" s="64">
        <v>4990</v>
      </c>
      <c r="Z550" s="64"/>
      <c r="AA550" s="64"/>
      <c r="AB550" s="64"/>
      <c r="AC550" s="594"/>
      <c r="AD550" s="594"/>
      <c r="AE550" s="594"/>
      <c r="AF550" s="594"/>
      <c r="AG550" s="594"/>
      <c r="AH550" s="594">
        <v>2100</v>
      </c>
      <c r="AI550" s="594">
        <v>2100</v>
      </c>
      <c r="AJ550" s="595"/>
      <c r="AK550" s="595">
        <f t="shared" si="75"/>
        <v>0</v>
      </c>
      <c r="AL550" s="595">
        <f t="shared" si="76"/>
        <v>15</v>
      </c>
      <c r="AM550" s="592">
        <v>4990</v>
      </c>
      <c r="AN550" s="593">
        <v>4975</v>
      </c>
      <c r="AO550" s="595"/>
      <c r="AP550" s="595"/>
      <c r="AQ550" s="594"/>
      <c r="AR550" s="598"/>
      <c r="AS550" s="596">
        <v>4990</v>
      </c>
      <c r="AT550" s="596">
        <v>4975</v>
      </c>
      <c r="AU550" s="597"/>
      <c r="AV550" s="597"/>
      <c r="AW550" s="149"/>
      <c r="AX550" s="119"/>
    </row>
    <row r="551" spans="1:55" ht="31.5" x14ac:dyDescent="0.25">
      <c r="A551" s="590" t="s">
        <v>704</v>
      </c>
      <c r="B551" s="146" t="s">
        <v>1572</v>
      </c>
      <c r="C551" s="812" t="s">
        <v>1573</v>
      </c>
      <c r="D551" s="591"/>
      <c r="E551" s="591" t="s">
        <v>55</v>
      </c>
      <c r="F551" s="591"/>
      <c r="G551" s="592">
        <v>4990</v>
      </c>
      <c r="H551" s="593">
        <v>4980</v>
      </c>
      <c r="I551" s="593"/>
      <c r="J551" s="593"/>
      <c r="K551" s="593"/>
      <c r="L551" s="593"/>
      <c r="M551" s="593"/>
      <c r="N551" s="593"/>
      <c r="O551" s="593"/>
      <c r="P551" s="593"/>
      <c r="Q551" s="593"/>
      <c r="R551" s="593"/>
      <c r="S551" s="593"/>
      <c r="T551" s="593"/>
      <c r="U551" s="593"/>
      <c r="V551" s="593"/>
      <c r="W551" s="593"/>
      <c r="X551" s="64">
        <v>4990</v>
      </c>
      <c r="Y551" s="64">
        <v>4990</v>
      </c>
      <c r="Z551" s="64"/>
      <c r="AA551" s="64"/>
      <c r="AB551" s="64"/>
      <c r="AC551" s="594"/>
      <c r="AD551" s="594"/>
      <c r="AE551" s="594"/>
      <c r="AF551" s="594"/>
      <c r="AG551" s="594"/>
      <c r="AH551" s="594">
        <v>2100</v>
      </c>
      <c r="AI551" s="594">
        <v>2100</v>
      </c>
      <c r="AJ551" s="595"/>
      <c r="AK551" s="595">
        <f t="shared" si="75"/>
        <v>0</v>
      </c>
      <c r="AL551" s="595">
        <f t="shared" si="76"/>
        <v>10</v>
      </c>
      <c r="AM551" s="592">
        <v>4990</v>
      </c>
      <c r="AN551" s="593">
        <v>4980</v>
      </c>
      <c r="AO551" s="595"/>
      <c r="AP551" s="595"/>
      <c r="AQ551" s="594"/>
      <c r="AR551" s="598"/>
      <c r="AS551" s="596">
        <v>4990</v>
      </c>
      <c r="AT551" s="596">
        <v>4980</v>
      </c>
      <c r="AU551" s="597"/>
      <c r="AV551" s="597"/>
      <c r="AW551" s="149"/>
      <c r="AX551" s="119"/>
    </row>
    <row r="552" spans="1:55" ht="31.5" x14ac:dyDescent="0.25">
      <c r="A552" s="590" t="s">
        <v>709</v>
      </c>
      <c r="B552" s="146" t="s">
        <v>1574</v>
      </c>
      <c r="C552" s="812" t="s">
        <v>1573</v>
      </c>
      <c r="D552" s="591"/>
      <c r="E552" s="591" t="s">
        <v>55</v>
      </c>
      <c r="F552" s="591"/>
      <c r="G552" s="592">
        <v>1500</v>
      </c>
      <c r="H552" s="593">
        <v>1440</v>
      </c>
      <c r="I552" s="593"/>
      <c r="J552" s="593"/>
      <c r="K552" s="593"/>
      <c r="L552" s="593"/>
      <c r="M552" s="593"/>
      <c r="N552" s="593"/>
      <c r="O552" s="593"/>
      <c r="P552" s="593"/>
      <c r="Q552" s="593"/>
      <c r="R552" s="593"/>
      <c r="S552" s="593"/>
      <c r="T552" s="593"/>
      <c r="U552" s="593"/>
      <c r="V552" s="593"/>
      <c r="W552" s="593"/>
      <c r="X552" s="64">
        <v>1500</v>
      </c>
      <c r="Y552" s="64">
        <v>1500</v>
      </c>
      <c r="Z552" s="64"/>
      <c r="AA552" s="64"/>
      <c r="AB552" s="64"/>
      <c r="AC552" s="594"/>
      <c r="AD552" s="594"/>
      <c r="AE552" s="594"/>
      <c r="AF552" s="594"/>
      <c r="AG552" s="594"/>
      <c r="AH552" s="594">
        <v>700</v>
      </c>
      <c r="AI552" s="594">
        <v>700</v>
      </c>
      <c r="AJ552" s="595"/>
      <c r="AK552" s="595">
        <f t="shared" si="75"/>
        <v>0</v>
      </c>
      <c r="AL552" s="595">
        <f t="shared" si="76"/>
        <v>60</v>
      </c>
      <c r="AM552" s="592">
        <v>1500</v>
      </c>
      <c r="AN552" s="593">
        <v>1440</v>
      </c>
      <c r="AO552" s="595"/>
      <c r="AP552" s="595"/>
      <c r="AQ552" s="594"/>
      <c r="AR552" s="594"/>
      <c r="AS552" s="596">
        <v>1500</v>
      </c>
      <c r="AT552" s="596">
        <v>1440</v>
      </c>
      <c r="AU552" s="597"/>
      <c r="AV552" s="597"/>
      <c r="AW552" s="149"/>
      <c r="AX552" s="119"/>
    </row>
    <row r="553" spans="1:55" ht="31.5" x14ac:dyDescent="0.25">
      <c r="A553" s="590" t="s">
        <v>714</v>
      </c>
      <c r="B553" s="146" t="s">
        <v>1575</v>
      </c>
      <c r="C553" s="812" t="s">
        <v>1576</v>
      </c>
      <c r="D553" s="591"/>
      <c r="E553" s="591" t="s">
        <v>55</v>
      </c>
      <c r="F553" s="591"/>
      <c r="G553" s="592">
        <v>7500</v>
      </c>
      <c r="H553" s="593">
        <v>7440</v>
      </c>
      <c r="I553" s="593"/>
      <c r="J553" s="593"/>
      <c r="K553" s="593"/>
      <c r="L553" s="593"/>
      <c r="M553" s="593"/>
      <c r="N553" s="593"/>
      <c r="O553" s="593"/>
      <c r="P553" s="593"/>
      <c r="Q553" s="593"/>
      <c r="R553" s="593"/>
      <c r="S553" s="593"/>
      <c r="T553" s="593"/>
      <c r="U553" s="593"/>
      <c r="V553" s="593"/>
      <c r="W553" s="593"/>
      <c r="X553" s="64">
        <v>7500</v>
      </c>
      <c r="Y553" s="64">
        <v>7500</v>
      </c>
      <c r="Z553" s="64"/>
      <c r="AA553" s="64"/>
      <c r="AB553" s="64"/>
      <c r="AC553" s="594"/>
      <c r="AD553" s="594"/>
      <c r="AE553" s="594"/>
      <c r="AF553" s="594"/>
      <c r="AG553" s="594"/>
      <c r="AH553" s="594">
        <v>3015</v>
      </c>
      <c r="AI553" s="594">
        <v>3015</v>
      </c>
      <c r="AJ553" s="595"/>
      <c r="AK553" s="595">
        <f t="shared" si="75"/>
        <v>0</v>
      </c>
      <c r="AL553" s="595">
        <f t="shared" si="76"/>
        <v>60</v>
      </c>
      <c r="AM553" s="592">
        <v>7500</v>
      </c>
      <c r="AN553" s="593">
        <v>7440</v>
      </c>
      <c r="AO553" s="595"/>
      <c r="AP553" s="595"/>
      <c r="AQ553" s="594"/>
      <c r="AR553" s="594"/>
      <c r="AS553" s="596">
        <v>7500</v>
      </c>
      <c r="AT553" s="596">
        <v>7440</v>
      </c>
      <c r="AU553" s="597"/>
      <c r="AV553" s="597"/>
      <c r="AW553" s="149"/>
      <c r="AX553" s="119"/>
    </row>
    <row r="554" spans="1:55" ht="31.5" x14ac:dyDescent="0.25">
      <c r="A554" s="590" t="s">
        <v>717</v>
      </c>
      <c r="B554" s="146" t="s">
        <v>1577</v>
      </c>
      <c r="C554" s="812" t="s">
        <v>1578</v>
      </c>
      <c r="D554" s="591"/>
      <c r="E554" s="591" t="s">
        <v>55</v>
      </c>
      <c r="F554" s="591"/>
      <c r="G554" s="592">
        <v>3500</v>
      </c>
      <c r="H554" s="593">
        <v>3500</v>
      </c>
      <c r="I554" s="593"/>
      <c r="J554" s="593"/>
      <c r="K554" s="593"/>
      <c r="L554" s="593"/>
      <c r="M554" s="593"/>
      <c r="N554" s="593"/>
      <c r="O554" s="593"/>
      <c r="P554" s="593"/>
      <c r="Q554" s="593"/>
      <c r="R554" s="593"/>
      <c r="S554" s="593"/>
      <c r="T554" s="593"/>
      <c r="U554" s="593"/>
      <c r="V554" s="593"/>
      <c r="W554" s="593"/>
      <c r="X554" s="64">
        <v>3500</v>
      </c>
      <c r="Y554" s="64">
        <v>3500</v>
      </c>
      <c r="Z554" s="64"/>
      <c r="AA554" s="64"/>
      <c r="AB554" s="64"/>
      <c r="AC554" s="594"/>
      <c r="AD554" s="594"/>
      <c r="AE554" s="594"/>
      <c r="AF554" s="594"/>
      <c r="AG554" s="594"/>
      <c r="AH554" s="594">
        <v>1400</v>
      </c>
      <c r="AI554" s="594">
        <v>1400</v>
      </c>
      <c r="AJ554" s="595"/>
      <c r="AK554" s="595">
        <f t="shared" si="75"/>
        <v>0</v>
      </c>
      <c r="AL554" s="595">
        <f t="shared" si="76"/>
        <v>0</v>
      </c>
      <c r="AM554" s="592">
        <v>3500</v>
      </c>
      <c r="AN554" s="593">
        <v>3500</v>
      </c>
      <c r="AO554" s="595"/>
      <c r="AP554" s="595"/>
      <c r="AQ554" s="594"/>
      <c r="AR554" s="594"/>
      <c r="AS554" s="596">
        <v>3500</v>
      </c>
      <c r="AT554" s="375">
        <v>3500</v>
      </c>
      <c r="AU554" s="595"/>
      <c r="AV554" s="595"/>
      <c r="AW554" s="149"/>
      <c r="AX554" s="119"/>
    </row>
    <row r="555" spans="1:55" ht="31.5" x14ac:dyDescent="0.25">
      <c r="A555" s="590" t="s">
        <v>721</v>
      </c>
      <c r="B555" s="146" t="s">
        <v>1579</v>
      </c>
      <c r="C555" s="812" t="s">
        <v>1567</v>
      </c>
      <c r="D555" s="591"/>
      <c r="E555" s="591" t="s">
        <v>933</v>
      </c>
      <c r="F555" s="591"/>
      <c r="G555" s="592">
        <v>1000</v>
      </c>
      <c r="H555" s="592">
        <v>954</v>
      </c>
      <c r="I555" s="593"/>
      <c r="J555" s="593"/>
      <c r="K555" s="593"/>
      <c r="L555" s="593"/>
      <c r="M555" s="593"/>
      <c r="N555" s="593"/>
      <c r="O555" s="593"/>
      <c r="P555" s="593"/>
      <c r="Q555" s="593"/>
      <c r="R555" s="593"/>
      <c r="S555" s="593"/>
      <c r="T555" s="593"/>
      <c r="U555" s="593"/>
      <c r="V555" s="593"/>
      <c r="W555" s="593"/>
      <c r="X555" s="64">
        <v>1000</v>
      </c>
      <c r="Y555" s="64">
        <v>1000</v>
      </c>
      <c r="Z555" s="64"/>
      <c r="AA555" s="64"/>
      <c r="AB555" s="64"/>
      <c r="AC555" s="594"/>
      <c r="AD555" s="594"/>
      <c r="AE555" s="594"/>
      <c r="AF555" s="594"/>
      <c r="AG555" s="594"/>
      <c r="AH555" s="594"/>
      <c r="AI555" s="594"/>
      <c r="AJ555" s="595"/>
      <c r="AK555" s="595">
        <f t="shared" si="75"/>
        <v>0</v>
      </c>
      <c r="AL555" s="595">
        <f t="shared" si="76"/>
        <v>46</v>
      </c>
      <c r="AM555" s="592">
        <v>1000</v>
      </c>
      <c r="AN555" s="592">
        <v>954</v>
      </c>
      <c r="AO555" s="595"/>
      <c r="AP555" s="595"/>
      <c r="AQ555" s="594"/>
      <c r="AR555" s="594"/>
      <c r="AS555" s="596">
        <v>1000</v>
      </c>
      <c r="AT555" s="596">
        <v>954</v>
      </c>
      <c r="AU555" s="597"/>
      <c r="AV555" s="597"/>
      <c r="AW555" s="149"/>
      <c r="AX555" s="119"/>
    </row>
    <row r="556" spans="1:55" ht="31.5" x14ac:dyDescent="0.25">
      <c r="A556" s="590" t="s">
        <v>768</v>
      </c>
      <c r="B556" s="146" t="s">
        <v>1580</v>
      </c>
      <c r="C556" s="812" t="s">
        <v>1581</v>
      </c>
      <c r="D556" s="591"/>
      <c r="E556" s="591" t="s">
        <v>933</v>
      </c>
      <c r="F556" s="591"/>
      <c r="G556" s="595">
        <v>756</v>
      </c>
      <c r="H556" s="595">
        <v>750</v>
      </c>
      <c r="I556" s="593"/>
      <c r="J556" s="593"/>
      <c r="K556" s="593"/>
      <c r="L556" s="593"/>
      <c r="M556" s="593"/>
      <c r="N556" s="593"/>
      <c r="O556" s="593"/>
      <c r="P556" s="593"/>
      <c r="Q556" s="593"/>
      <c r="R556" s="593"/>
      <c r="S556" s="593"/>
      <c r="T556" s="593"/>
      <c r="U556" s="593"/>
      <c r="V556" s="593"/>
      <c r="W556" s="593"/>
      <c r="X556" s="64">
        <v>4990</v>
      </c>
      <c r="Y556" s="64">
        <v>4990</v>
      </c>
      <c r="Z556" s="64"/>
      <c r="AA556" s="64"/>
      <c r="AB556" s="64"/>
      <c r="AC556" s="594"/>
      <c r="AD556" s="594"/>
      <c r="AE556" s="594"/>
      <c r="AF556" s="594"/>
      <c r="AG556" s="594"/>
      <c r="AH556" s="594"/>
      <c r="AI556" s="594"/>
      <c r="AJ556" s="595"/>
      <c r="AK556" s="595">
        <f t="shared" si="75"/>
        <v>0</v>
      </c>
      <c r="AL556" s="595">
        <f t="shared" si="76"/>
        <v>4240</v>
      </c>
      <c r="AM556" s="595">
        <v>756</v>
      </c>
      <c r="AN556" s="595">
        <v>750</v>
      </c>
      <c r="AO556" s="595"/>
      <c r="AP556" s="595"/>
      <c r="AQ556" s="594"/>
      <c r="AR556" s="594"/>
      <c r="AS556" s="596">
        <v>756</v>
      </c>
      <c r="AT556" s="596">
        <v>750</v>
      </c>
      <c r="AU556" s="597"/>
      <c r="AV556" s="597"/>
      <c r="AW556" s="149"/>
      <c r="AX556" s="119"/>
    </row>
    <row r="557" spans="1:55" ht="31.5" x14ac:dyDescent="0.25">
      <c r="A557" s="590" t="s">
        <v>771</v>
      </c>
      <c r="B557" s="146" t="s">
        <v>1582</v>
      </c>
      <c r="C557" s="812" t="s">
        <v>1581</v>
      </c>
      <c r="D557" s="591"/>
      <c r="E557" s="591" t="s">
        <v>933</v>
      </c>
      <c r="F557" s="591"/>
      <c r="G557" s="595">
        <v>4990</v>
      </c>
      <c r="H557" s="595">
        <v>4970</v>
      </c>
      <c r="I557" s="593"/>
      <c r="J557" s="593"/>
      <c r="K557" s="593"/>
      <c r="L557" s="593"/>
      <c r="M557" s="593"/>
      <c r="N557" s="593"/>
      <c r="O557" s="593"/>
      <c r="P557" s="593"/>
      <c r="Q557" s="593"/>
      <c r="R557" s="593"/>
      <c r="S557" s="593"/>
      <c r="T557" s="593"/>
      <c r="U557" s="593"/>
      <c r="V557" s="593"/>
      <c r="W557" s="593"/>
      <c r="X557" s="64">
        <v>3500</v>
      </c>
      <c r="Y557" s="64">
        <v>3500</v>
      </c>
      <c r="Z557" s="64"/>
      <c r="AA557" s="64"/>
      <c r="AB557" s="64"/>
      <c r="AC557" s="594"/>
      <c r="AD557" s="594"/>
      <c r="AE557" s="594"/>
      <c r="AF557" s="594"/>
      <c r="AG557" s="594"/>
      <c r="AH557" s="594"/>
      <c r="AI557" s="594"/>
      <c r="AJ557" s="595"/>
      <c r="AK557" s="595">
        <f t="shared" si="75"/>
        <v>1490</v>
      </c>
      <c r="AL557" s="595">
        <f t="shared" si="76"/>
        <v>0</v>
      </c>
      <c r="AM557" s="595">
        <v>4990</v>
      </c>
      <c r="AN557" s="595">
        <v>4970</v>
      </c>
      <c r="AO557" s="595"/>
      <c r="AP557" s="595"/>
      <c r="AQ557" s="594"/>
      <c r="AR557" s="594"/>
      <c r="AS557" s="596">
        <v>4990</v>
      </c>
      <c r="AT557" s="596">
        <v>4970</v>
      </c>
      <c r="AU557" s="597"/>
      <c r="AV557" s="597"/>
      <c r="AW557" s="149"/>
      <c r="AX557" s="119"/>
    </row>
    <row r="558" spans="1:55" ht="31.5" x14ac:dyDescent="0.25">
      <c r="A558" s="590" t="s">
        <v>774</v>
      </c>
      <c r="B558" s="146" t="s">
        <v>1583</v>
      </c>
      <c r="C558" s="812" t="s">
        <v>90</v>
      </c>
      <c r="D558" s="591"/>
      <c r="E558" s="591" t="s">
        <v>933</v>
      </c>
      <c r="F558" s="591"/>
      <c r="G558" s="595">
        <v>4000</v>
      </c>
      <c r="H558" s="595">
        <v>3830</v>
      </c>
      <c r="I558" s="593"/>
      <c r="J558" s="593"/>
      <c r="K558" s="593"/>
      <c r="L558" s="593"/>
      <c r="M558" s="593"/>
      <c r="N558" s="593"/>
      <c r="O558" s="593"/>
      <c r="P558" s="593"/>
      <c r="Q558" s="593"/>
      <c r="R558" s="593"/>
      <c r="S558" s="593"/>
      <c r="T558" s="593"/>
      <c r="U558" s="593"/>
      <c r="V558" s="593"/>
      <c r="W558" s="593"/>
      <c r="X558" s="64">
        <v>4000</v>
      </c>
      <c r="Y558" s="64">
        <v>4000</v>
      </c>
      <c r="Z558" s="64"/>
      <c r="AA558" s="64"/>
      <c r="AB558" s="64"/>
      <c r="AC558" s="594"/>
      <c r="AD558" s="594"/>
      <c r="AE558" s="594"/>
      <c r="AF558" s="594"/>
      <c r="AG558" s="594"/>
      <c r="AH558" s="594"/>
      <c r="AI558" s="594"/>
      <c r="AJ558" s="595"/>
      <c r="AK558" s="595">
        <f t="shared" si="75"/>
        <v>0</v>
      </c>
      <c r="AL558" s="595">
        <f t="shared" si="76"/>
        <v>170</v>
      </c>
      <c r="AM558" s="595">
        <v>4000</v>
      </c>
      <c r="AN558" s="595">
        <v>3830</v>
      </c>
      <c r="AO558" s="595"/>
      <c r="AP558" s="595"/>
      <c r="AQ558" s="594"/>
      <c r="AR558" s="599"/>
      <c r="AS558" s="600">
        <v>4000</v>
      </c>
      <c r="AT558" s="596">
        <v>3830</v>
      </c>
      <c r="AU558" s="597"/>
      <c r="AV558" s="597"/>
      <c r="AW558" s="149"/>
      <c r="AX558" s="119"/>
    </row>
    <row r="559" spans="1:55" ht="31.5" x14ac:dyDescent="0.25">
      <c r="A559" s="590" t="s">
        <v>777</v>
      </c>
      <c r="B559" s="146" t="s">
        <v>1584</v>
      </c>
      <c r="C559" s="812" t="s">
        <v>1569</v>
      </c>
      <c r="D559" s="591"/>
      <c r="E559" s="591" t="s">
        <v>933</v>
      </c>
      <c r="F559" s="591"/>
      <c r="G559" s="595">
        <v>4000</v>
      </c>
      <c r="H559" s="595">
        <v>3960</v>
      </c>
      <c r="I559" s="593"/>
      <c r="J559" s="593"/>
      <c r="K559" s="593"/>
      <c r="L559" s="593"/>
      <c r="M559" s="593"/>
      <c r="N559" s="593"/>
      <c r="O559" s="593"/>
      <c r="P559" s="593"/>
      <c r="Q559" s="593"/>
      <c r="R559" s="593"/>
      <c r="S559" s="593"/>
      <c r="T559" s="593"/>
      <c r="U559" s="593"/>
      <c r="V559" s="593"/>
      <c r="W559" s="593"/>
      <c r="X559" s="64">
        <v>4000</v>
      </c>
      <c r="Y559" s="64">
        <v>4000</v>
      </c>
      <c r="Z559" s="64"/>
      <c r="AA559" s="64"/>
      <c r="AB559" s="64"/>
      <c r="AC559" s="594"/>
      <c r="AD559" s="594"/>
      <c r="AE559" s="594"/>
      <c r="AF559" s="594"/>
      <c r="AG559" s="594"/>
      <c r="AH559" s="594"/>
      <c r="AI559" s="594"/>
      <c r="AJ559" s="595"/>
      <c r="AK559" s="595">
        <f t="shared" si="75"/>
        <v>0</v>
      </c>
      <c r="AL559" s="595">
        <f t="shared" si="76"/>
        <v>40</v>
      </c>
      <c r="AM559" s="595">
        <v>4000</v>
      </c>
      <c r="AN559" s="595">
        <v>3960</v>
      </c>
      <c r="AO559" s="595"/>
      <c r="AP559" s="595"/>
      <c r="AQ559" s="594"/>
      <c r="AR559" s="594"/>
      <c r="AS559" s="596">
        <v>4000</v>
      </c>
      <c r="AT559" s="596">
        <v>3960</v>
      </c>
      <c r="AU559" s="597"/>
      <c r="AV559" s="597"/>
      <c r="AW559" s="149"/>
      <c r="AX559" s="119"/>
    </row>
    <row r="560" spans="1:55" ht="31.5" x14ac:dyDescent="0.25">
      <c r="A560" s="590" t="s">
        <v>781</v>
      </c>
      <c r="B560" s="146" t="s">
        <v>1585</v>
      </c>
      <c r="C560" s="812" t="s">
        <v>1573</v>
      </c>
      <c r="D560" s="591"/>
      <c r="E560" s="591" t="s">
        <v>933</v>
      </c>
      <c r="F560" s="591"/>
      <c r="G560" s="595">
        <v>1650</v>
      </c>
      <c r="H560" s="595">
        <v>1640</v>
      </c>
      <c r="I560" s="593"/>
      <c r="J560" s="593"/>
      <c r="K560" s="593"/>
      <c r="L560" s="593"/>
      <c r="M560" s="593"/>
      <c r="N560" s="593"/>
      <c r="O560" s="593"/>
      <c r="P560" s="593"/>
      <c r="Q560" s="593"/>
      <c r="R560" s="593"/>
      <c r="S560" s="593"/>
      <c r="T560" s="593"/>
      <c r="U560" s="593"/>
      <c r="V560" s="593"/>
      <c r="W560" s="593"/>
      <c r="X560" s="64">
        <v>3500</v>
      </c>
      <c r="Y560" s="64">
        <v>3500</v>
      </c>
      <c r="Z560" s="64"/>
      <c r="AA560" s="64"/>
      <c r="AB560" s="64"/>
      <c r="AC560" s="594"/>
      <c r="AD560" s="594"/>
      <c r="AE560" s="594"/>
      <c r="AF560" s="594"/>
      <c r="AG560" s="594"/>
      <c r="AH560" s="594"/>
      <c r="AI560" s="594"/>
      <c r="AJ560" s="595"/>
      <c r="AK560" s="595">
        <f t="shared" si="75"/>
        <v>0</v>
      </c>
      <c r="AL560" s="595">
        <f t="shared" si="76"/>
        <v>1860</v>
      </c>
      <c r="AM560" s="595">
        <v>1650</v>
      </c>
      <c r="AN560" s="595">
        <v>1640</v>
      </c>
      <c r="AO560" s="595"/>
      <c r="AP560" s="595"/>
      <c r="AQ560" s="594"/>
      <c r="AR560" s="594"/>
      <c r="AS560" s="596">
        <v>1650</v>
      </c>
      <c r="AT560" s="596">
        <v>1640</v>
      </c>
      <c r="AU560" s="597"/>
      <c r="AV560" s="597"/>
      <c r="AW560" s="149"/>
      <c r="AX560" s="119"/>
    </row>
    <row r="561" spans="1:54" ht="31.5" x14ac:dyDescent="0.25">
      <c r="A561" s="590" t="s">
        <v>784</v>
      </c>
      <c r="B561" s="146" t="s">
        <v>1586</v>
      </c>
      <c r="C561" s="812" t="s">
        <v>1567</v>
      </c>
      <c r="D561" s="591"/>
      <c r="E561" s="591" t="s">
        <v>933</v>
      </c>
      <c r="F561" s="591"/>
      <c r="G561" s="595">
        <v>2700</v>
      </c>
      <c r="H561" s="595">
        <v>2427.6</v>
      </c>
      <c r="I561" s="593"/>
      <c r="J561" s="593"/>
      <c r="K561" s="593"/>
      <c r="L561" s="593"/>
      <c r="M561" s="593"/>
      <c r="N561" s="593"/>
      <c r="O561" s="593"/>
      <c r="P561" s="593"/>
      <c r="Q561" s="593"/>
      <c r="R561" s="593"/>
      <c r="S561" s="593"/>
      <c r="T561" s="593"/>
      <c r="U561" s="593"/>
      <c r="V561" s="593"/>
      <c r="W561" s="593"/>
      <c r="X561" s="64">
        <v>1300</v>
      </c>
      <c r="Y561" s="64">
        <v>1300</v>
      </c>
      <c r="Z561" s="64"/>
      <c r="AA561" s="64"/>
      <c r="AB561" s="64"/>
      <c r="AC561" s="594"/>
      <c r="AD561" s="594"/>
      <c r="AE561" s="594"/>
      <c r="AF561" s="594"/>
      <c r="AG561" s="594"/>
      <c r="AH561" s="594"/>
      <c r="AI561" s="594"/>
      <c r="AJ561" s="595"/>
      <c r="AK561" s="595">
        <f t="shared" si="75"/>
        <v>1400</v>
      </c>
      <c r="AL561" s="595">
        <f t="shared" si="76"/>
        <v>0</v>
      </c>
      <c r="AM561" s="595">
        <v>2700</v>
      </c>
      <c r="AN561" s="595">
        <v>2427.6</v>
      </c>
      <c r="AO561" s="595"/>
      <c r="AP561" s="595"/>
      <c r="AQ561" s="594"/>
      <c r="AR561" s="594"/>
      <c r="AS561" s="596">
        <v>2700</v>
      </c>
      <c r="AT561" s="596">
        <v>2427.6</v>
      </c>
      <c r="AU561" s="597"/>
      <c r="AV561" s="597"/>
      <c r="AW561" s="149"/>
      <c r="AX561" s="119"/>
    </row>
    <row r="562" spans="1:54" ht="31.5" x14ac:dyDescent="0.25">
      <c r="A562" s="590" t="s">
        <v>787</v>
      </c>
      <c r="B562" s="146" t="s">
        <v>1587</v>
      </c>
      <c r="C562" s="812" t="s">
        <v>1588</v>
      </c>
      <c r="D562" s="5"/>
      <c r="E562" s="591" t="s">
        <v>933</v>
      </c>
      <c r="F562" s="591"/>
      <c r="G562" s="595">
        <v>2600</v>
      </c>
      <c r="H562" s="595">
        <v>2258</v>
      </c>
      <c r="I562" s="593"/>
      <c r="J562" s="593"/>
      <c r="K562" s="593"/>
      <c r="L562" s="593"/>
      <c r="M562" s="593"/>
      <c r="N562" s="593"/>
      <c r="O562" s="593"/>
      <c r="P562" s="593"/>
      <c r="Q562" s="593"/>
      <c r="R562" s="593"/>
      <c r="S562" s="593"/>
      <c r="T562" s="593"/>
      <c r="U562" s="593"/>
      <c r="V562" s="593"/>
      <c r="W562" s="593"/>
      <c r="X562" s="64">
        <v>1500</v>
      </c>
      <c r="Y562" s="64">
        <v>1500</v>
      </c>
      <c r="Z562" s="64"/>
      <c r="AA562" s="64"/>
      <c r="AB562" s="64"/>
      <c r="AC562" s="594"/>
      <c r="AD562" s="594"/>
      <c r="AE562" s="594"/>
      <c r="AF562" s="594"/>
      <c r="AG562" s="594"/>
      <c r="AH562" s="594"/>
      <c r="AI562" s="594"/>
      <c r="AJ562" s="595"/>
      <c r="AK562" s="595">
        <f t="shared" si="75"/>
        <v>1100</v>
      </c>
      <c r="AL562" s="595">
        <f t="shared" si="76"/>
        <v>0</v>
      </c>
      <c r="AM562" s="595">
        <v>2600</v>
      </c>
      <c r="AN562" s="595">
        <v>2258</v>
      </c>
      <c r="AO562" s="595"/>
      <c r="AP562" s="595"/>
      <c r="AQ562" s="594"/>
      <c r="AR562" s="594"/>
      <c r="AS562" s="596">
        <v>2600</v>
      </c>
      <c r="AT562" s="596">
        <v>2258</v>
      </c>
      <c r="AU562" s="597"/>
      <c r="AV562" s="597"/>
      <c r="AW562" s="149"/>
      <c r="AX562" s="119"/>
    </row>
    <row r="563" spans="1:54" ht="31.5" x14ac:dyDescent="0.25">
      <c r="A563" s="590" t="s">
        <v>791</v>
      </c>
      <c r="B563" s="146" t="s">
        <v>1589</v>
      </c>
      <c r="C563" s="812" t="s">
        <v>91</v>
      </c>
      <c r="D563" s="5"/>
      <c r="E563" s="591" t="s">
        <v>61</v>
      </c>
      <c r="F563" s="591"/>
      <c r="G563" s="595">
        <v>1000</v>
      </c>
      <c r="H563" s="595">
        <v>942.7</v>
      </c>
      <c r="I563" s="593"/>
      <c r="J563" s="593"/>
      <c r="K563" s="593"/>
      <c r="L563" s="593"/>
      <c r="M563" s="593"/>
      <c r="N563" s="593"/>
      <c r="O563" s="593"/>
      <c r="P563" s="593"/>
      <c r="Q563" s="593"/>
      <c r="R563" s="593"/>
      <c r="S563" s="593"/>
      <c r="T563" s="593"/>
      <c r="U563" s="593"/>
      <c r="V563" s="593"/>
      <c r="W563" s="593"/>
      <c r="X563" s="64">
        <v>2000</v>
      </c>
      <c r="Y563" s="64">
        <v>2000</v>
      </c>
      <c r="Z563" s="64"/>
      <c r="AA563" s="64"/>
      <c r="AB563" s="64"/>
      <c r="AC563" s="594"/>
      <c r="AD563" s="594"/>
      <c r="AE563" s="594"/>
      <c r="AF563" s="594"/>
      <c r="AG563" s="594"/>
      <c r="AH563" s="594"/>
      <c r="AI563" s="594"/>
      <c r="AJ563" s="595"/>
      <c r="AK563" s="595">
        <f t="shared" si="75"/>
        <v>0</v>
      </c>
      <c r="AL563" s="595">
        <f t="shared" si="76"/>
        <v>1057.3</v>
      </c>
      <c r="AM563" s="595">
        <v>1000</v>
      </c>
      <c r="AN563" s="595">
        <v>942.7</v>
      </c>
      <c r="AO563" s="595"/>
      <c r="AP563" s="595"/>
      <c r="AQ563" s="594"/>
      <c r="AR563" s="594"/>
      <c r="AS563" s="596">
        <v>1000</v>
      </c>
      <c r="AT563" s="596">
        <v>942.7</v>
      </c>
      <c r="AU563" s="597"/>
      <c r="AV563" s="597"/>
      <c r="AW563" s="149"/>
      <c r="AX563" s="119"/>
    </row>
    <row r="564" spans="1:54" ht="31.5" x14ac:dyDescent="0.25">
      <c r="A564" s="590" t="s">
        <v>795</v>
      </c>
      <c r="B564" s="146" t="s">
        <v>1590</v>
      </c>
      <c r="C564" s="812" t="s">
        <v>91</v>
      </c>
      <c r="D564" s="591"/>
      <c r="E564" s="591" t="s">
        <v>61</v>
      </c>
      <c r="F564" s="591"/>
      <c r="G564" s="595">
        <v>2265</v>
      </c>
      <c r="H564" s="595">
        <v>2210</v>
      </c>
      <c r="I564" s="593"/>
      <c r="J564" s="593"/>
      <c r="K564" s="593"/>
      <c r="L564" s="593"/>
      <c r="M564" s="593"/>
      <c r="N564" s="593"/>
      <c r="O564" s="593"/>
      <c r="P564" s="593"/>
      <c r="Q564" s="593"/>
      <c r="R564" s="593"/>
      <c r="S564" s="593"/>
      <c r="T564" s="593"/>
      <c r="U564" s="593"/>
      <c r="V564" s="593"/>
      <c r="W564" s="593"/>
      <c r="X564" s="64">
        <v>2265</v>
      </c>
      <c r="Y564" s="64">
        <v>2265</v>
      </c>
      <c r="Z564" s="64"/>
      <c r="AA564" s="64"/>
      <c r="AB564" s="64"/>
      <c r="AC564" s="594"/>
      <c r="AD564" s="594"/>
      <c r="AE564" s="594"/>
      <c r="AF564" s="594"/>
      <c r="AG564" s="594"/>
      <c r="AH564" s="594"/>
      <c r="AI564" s="594"/>
      <c r="AJ564" s="595"/>
      <c r="AK564" s="595">
        <f t="shared" si="75"/>
        <v>0</v>
      </c>
      <c r="AL564" s="595">
        <f t="shared" si="76"/>
        <v>55</v>
      </c>
      <c r="AM564" s="595">
        <v>2265</v>
      </c>
      <c r="AN564" s="595">
        <v>2210</v>
      </c>
      <c r="AO564" s="595"/>
      <c r="AP564" s="595"/>
      <c r="AQ564" s="594"/>
      <c r="AR564" s="594"/>
      <c r="AS564" s="596">
        <v>2265</v>
      </c>
      <c r="AT564" s="596">
        <v>2210</v>
      </c>
      <c r="AU564" s="597"/>
      <c r="AV564" s="597"/>
      <c r="AW564" s="147"/>
      <c r="AX564" s="119"/>
    </row>
    <row r="565" spans="1:54" ht="31.5" x14ac:dyDescent="0.25">
      <c r="A565" s="590" t="s">
        <v>798</v>
      </c>
      <c r="B565" s="146" t="s">
        <v>1591</v>
      </c>
      <c r="C565" s="812" t="s">
        <v>90</v>
      </c>
      <c r="D565" s="591"/>
      <c r="E565" s="591" t="s">
        <v>61</v>
      </c>
      <c r="F565" s="591"/>
      <c r="G565" s="595">
        <v>4000</v>
      </c>
      <c r="H565" s="595">
        <v>3860</v>
      </c>
      <c r="I565" s="593"/>
      <c r="J565" s="593"/>
      <c r="K565" s="593"/>
      <c r="L565" s="593"/>
      <c r="M565" s="593"/>
      <c r="N565" s="593"/>
      <c r="O565" s="593"/>
      <c r="P565" s="593"/>
      <c r="Q565" s="593"/>
      <c r="R565" s="593"/>
      <c r="S565" s="593"/>
      <c r="T565" s="593"/>
      <c r="U565" s="593"/>
      <c r="V565" s="593"/>
      <c r="W565" s="593"/>
      <c r="X565" s="64">
        <v>3000</v>
      </c>
      <c r="Y565" s="64">
        <v>3000</v>
      </c>
      <c r="Z565" s="64"/>
      <c r="AA565" s="64"/>
      <c r="AB565" s="64"/>
      <c r="AC565" s="594"/>
      <c r="AD565" s="594"/>
      <c r="AE565" s="594"/>
      <c r="AF565" s="594"/>
      <c r="AG565" s="594"/>
      <c r="AH565" s="594"/>
      <c r="AI565" s="594"/>
      <c r="AJ565" s="595"/>
      <c r="AK565" s="595">
        <f t="shared" si="75"/>
        <v>1000</v>
      </c>
      <c r="AL565" s="595">
        <f t="shared" si="76"/>
        <v>0</v>
      </c>
      <c r="AM565" s="595">
        <v>4000</v>
      </c>
      <c r="AN565" s="595">
        <v>3860</v>
      </c>
      <c r="AO565" s="595"/>
      <c r="AP565" s="595"/>
      <c r="AQ565" s="594"/>
      <c r="AR565" s="594"/>
      <c r="AS565" s="596">
        <v>4000</v>
      </c>
      <c r="AT565" s="596">
        <v>3860</v>
      </c>
      <c r="AU565" s="597"/>
      <c r="AV565" s="597"/>
      <c r="AW565" s="147"/>
      <c r="AX565" s="119"/>
    </row>
    <row r="566" spans="1:54" ht="31.5" x14ac:dyDescent="0.25">
      <c r="A566" s="590" t="s">
        <v>801</v>
      </c>
      <c r="B566" s="146" t="s">
        <v>1592</v>
      </c>
      <c r="C566" s="812" t="s">
        <v>1567</v>
      </c>
      <c r="D566" s="591"/>
      <c r="E566" s="591" t="s">
        <v>61</v>
      </c>
      <c r="F566" s="591"/>
      <c r="G566" s="595">
        <v>6404</v>
      </c>
      <c r="H566" s="595">
        <v>6339</v>
      </c>
      <c r="I566" s="593"/>
      <c r="J566" s="593"/>
      <c r="K566" s="593"/>
      <c r="L566" s="593"/>
      <c r="M566" s="593"/>
      <c r="N566" s="593"/>
      <c r="O566" s="593"/>
      <c r="P566" s="593"/>
      <c r="Q566" s="593"/>
      <c r="R566" s="593"/>
      <c r="S566" s="593"/>
      <c r="T566" s="593"/>
      <c r="U566" s="593"/>
      <c r="V566" s="593"/>
      <c r="W566" s="593"/>
      <c r="X566" s="64">
        <v>4000</v>
      </c>
      <c r="Y566" s="64">
        <v>4000</v>
      </c>
      <c r="Z566" s="64"/>
      <c r="AA566" s="64"/>
      <c r="AB566" s="64"/>
      <c r="AC566" s="594"/>
      <c r="AD566" s="594"/>
      <c r="AE566" s="594"/>
      <c r="AF566" s="594"/>
      <c r="AG566" s="594"/>
      <c r="AH566" s="594"/>
      <c r="AI566" s="594"/>
      <c r="AJ566" s="595"/>
      <c r="AK566" s="595">
        <f t="shared" si="75"/>
        <v>2404</v>
      </c>
      <c r="AL566" s="595">
        <f t="shared" si="76"/>
        <v>0</v>
      </c>
      <c r="AM566" s="595">
        <v>6404</v>
      </c>
      <c r="AN566" s="595">
        <v>6339</v>
      </c>
      <c r="AO566" s="595"/>
      <c r="AP566" s="595"/>
      <c r="AQ566" s="594"/>
      <c r="AR566" s="594"/>
      <c r="AS566" s="596">
        <v>6404</v>
      </c>
      <c r="AT566" s="596">
        <v>6339</v>
      </c>
      <c r="AU566" s="597"/>
      <c r="AV566" s="597"/>
      <c r="AW566" s="149"/>
      <c r="AX566" s="119"/>
    </row>
    <row r="567" spans="1:54" ht="31.5" x14ac:dyDescent="0.25">
      <c r="A567" s="590" t="s">
        <v>804</v>
      </c>
      <c r="B567" s="146" t="s">
        <v>1593</v>
      </c>
      <c r="C567" s="812" t="s">
        <v>1594</v>
      </c>
      <c r="D567" s="591"/>
      <c r="E567" s="591" t="s">
        <v>61</v>
      </c>
      <c r="F567" s="591"/>
      <c r="G567" s="595">
        <v>1300</v>
      </c>
      <c r="H567" s="595">
        <v>1254.7</v>
      </c>
      <c r="I567" s="593"/>
      <c r="J567" s="593"/>
      <c r="K567" s="593"/>
      <c r="L567" s="593"/>
      <c r="M567" s="593"/>
      <c r="N567" s="593"/>
      <c r="O567" s="593"/>
      <c r="P567" s="593"/>
      <c r="Q567" s="593"/>
      <c r="R567" s="593"/>
      <c r="S567" s="593"/>
      <c r="T567" s="593"/>
      <c r="U567" s="593"/>
      <c r="V567" s="593"/>
      <c r="W567" s="593"/>
      <c r="X567" s="64">
        <v>6404</v>
      </c>
      <c r="Y567" s="64">
        <v>6404</v>
      </c>
      <c r="Z567" s="64"/>
      <c r="AA567" s="64"/>
      <c r="AB567" s="64"/>
      <c r="AC567" s="594"/>
      <c r="AD567" s="594"/>
      <c r="AE567" s="594"/>
      <c r="AF567" s="594"/>
      <c r="AG567" s="594"/>
      <c r="AH567" s="594"/>
      <c r="AI567" s="594"/>
      <c r="AJ567" s="595"/>
      <c r="AK567" s="595">
        <f t="shared" si="75"/>
        <v>0</v>
      </c>
      <c r="AL567" s="595">
        <f t="shared" si="76"/>
        <v>5149.3</v>
      </c>
      <c r="AM567" s="595">
        <v>1300</v>
      </c>
      <c r="AN567" s="595">
        <v>1254.7</v>
      </c>
      <c r="AO567" s="595"/>
      <c r="AP567" s="595"/>
      <c r="AQ567" s="594"/>
      <c r="AR567" s="594"/>
      <c r="AS567" s="596">
        <v>1300</v>
      </c>
      <c r="AT567" s="596">
        <v>1254.7</v>
      </c>
      <c r="AU567" s="597"/>
      <c r="AV567" s="597"/>
      <c r="AW567" s="149"/>
      <c r="AX567" s="119"/>
    </row>
    <row r="568" spans="1:54" ht="31.5" x14ac:dyDescent="0.25">
      <c r="A568" s="590" t="s">
        <v>806</v>
      </c>
      <c r="B568" s="146" t="s">
        <v>1595</v>
      </c>
      <c r="C568" s="146" t="s">
        <v>1588</v>
      </c>
      <c r="D568" s="591"/>
      <c r="E568" s="591" t="s">
        <v>61</v>
      </c>
      <c r="F568" s="591"/>
      <c r="G568" s="595">
        <v>1300</v>
      </c>
      <c r="H568" s="595">
        <v>1262</v>
      </c>
      <c r="I568" s="593"/>
      <c r="J568" s="593"/>
      <c r="K568" s="593"/>
      <c r="L568" s="593"/>
      <c r="M568" s="593"/>
      <c r="N568" s="593"/>
      <c r="O568" s="593"/>
      <c r="P568" s="593"/>
      <c r="Q568" s="593"/>
      <c r="R568" s="593"/>
      <c r="S568" s="593"/>
      <c r="T568" s="593"/>
      <c r="U568" s="593"/>
      <c r="V568" s="593"/>
      <c r="W568" s="593"/>
      <c r="X568" s="64">
        <v>1300</v>
      </c>
      <c r="Y568" s="64">
        <v>1300</v>
      </c>
      <c r="Z568" s="64"/>
      <c r="AA568" s="64"/>
      <c r="AB568" s="64"/>
      <c r="AC568" s="594"/>
      <c r="AD568" s="594"/>
      <c r="AE568" s="594"/>
      <c r="AF568" s="594"/>
      <c r="AG568" s="594"/>
      <c r="AH568" s="594"/>
      <c r="AI568" s="594"/>
      <c r="AJ568" s="595"/>
      <c r="AK568" s="595">
        <f t="shared" si="75"/>
        <v>0</v>
      </c>
      <c r="AL568" s="595">
        <f t="shared" si="76"/>
        <v>38</v>
      </c>
      <c r="AM568" s="595">
        <v>1300</v>
      </c>
      <c r="AN568" s="595">
        <v>1262</v>
      </c>
      <c r="AO568" s="595"/>
      <c r="AP568" s="595"/>
      <c r="AQ568" s="594"/>
      <c r="AR568" s="594"/>
      <c r="AS568" s="596">
        <v>1300</v>
      </c>
      <c r="AT568" s="596">
        <v>1262</v>
      </c>
      <c r="AU568" s="601">
        <v>0</v>
      </c>
      <c r="AV568" s="601">
        <v>0</v>
      </c>
      <c r="AW568" s="149"/>
      <c r="AX568" s="119"/>
    </row>
    <row r="569" spans="1:54" ht="31.5" x14ac:dyDescent="0.25">
      <c r="A569" s="590" t="s">
        <v>808</v>
      </c>
      <c r="B569" s="146" t="s">
        <v>1596</v>
      </c>
      <c r="C569" s="812" t="s">
        <v>1569</v>
      </c>
      <c r="D569" s="591"/>
      <c r="E569" s="591" t="s">
        <v>61</v>
      </c>
      <c r="F569" s="591"/>
      <c r="G569" s="595">
        <v>3500</v>
      </c>
      <c r="H569" s="595">
        <v>2748</v>
      </c>
      <c r="I569" s="593"/>
      <c r="J569" s="593"/>
      <c r="K569" s="593"/>
      <c r="L569" s="593"/>
      <c r="M569" s="593"/>
      <c r="N569" s="593"/>
      <c r="O569" s="593"/>
      <c r="P569" s="593"/>
      <c r="Q569" s="593"/>
      <c r="R569" s="593"/>
      <c r="S569" s="593"/>
      <c r="T569" s="593"/>
      <c r="U569" s="593"/>
      <c r="V569" s="593"/>
      <c r="W569" s="593"/>
      <c r="X569" s="64">
        <v>1300</v>
      </c>
      <c r="Y569" s="64">
        <v>1300</v>
      </c>
      <c r="Z569" s="64"/>
      <c r="AA569" s="64"/>
      <c r="AB569" s="64"/>
      <c r="AC569" s="594"/>
      <c r="AD569" s="594"/>
      <c r="AE569" s="594"/>
      <c r="AF569" s="594"/>
      <c r="AG569" s="594"/>
      <c r="AH569" s="594"/>
      <c r="AI569" s="594"/>
      <c r="AJ569" s="595"/>
      <c r="AK569" s="595">
        <f t="shared" si="75"/>
        <v>2200</v>
      </c>
      <c r="AL569" s="595">
        <f t="shared" si="76"/>
        <v>0</v>
      </c>
      <c r="AM569" s="595">
        <v>3500</v>
      </c>
      <c r="AN569" s="595">
        <v>2748</v>
      </c>
      <c r="AO569" s="595"/>
      <c r="AP569" s="595"/>
      <c r="AQ569" s="594"/>
      <c r="AR569" s="594"/>
      <c r="AS569" s="596">
        <v>3500</v>
      </c>
      <c r="AT569" s="596">
        <v>2748</v>
      </c>
      <c r="AU569" s="602">
        <v>0</v>
      </c>
      <c r="AV569" s="602">
        <v>0</v>
      </c>
      <c r="AW569" s="149"/>
      <c r="AX569" s="119"/>
    </row>
    <row r="570" spans="1:54" s="14" customFormat="1" ht="31.5" x14ac:dyDescent="0.25">
      <c r="A570" s="590" t="s">
        <v>811</v>
      </c>
      <c r="B570" s="146" t="s">
        <v>1597</v>
      </c>
      <c r="C570" s="146" t="s">
        <v>1588</v>
      </c>
      <c r="D570" s="5"/>
      <c r="E570" s="591" t="s">
        <v>61</v>
      </c>
      <c r="F570" s="591"/>
      <c r="G570" s="595">
        <v>1300</v>
      </c>
      <c r="H570" s="595">
        <v>1268.8</v>
      </c>
      <c r="I570" s="593"/>
      <c r="J570" s="593"/>
      <c r="K570" s="593"/>
      <c r="L570" s="593"/>
      <c r="M570" s="593"/>
      <c r="N570" s="593"/>
      <c r="O570" s="593"/>
      <c r="P570" s="593"/>
      <c r="Q570" s="593"/>
      <c r="R570" s="593"/>
      <c r="S570" s="593"/>
      <c r="T570" s="593"/>
      <c r="U570" s="593"/>
      <c r="V570" s="593"/>
      <c r="W570" s="593"/>
      <c r="X570" s="64">
        <v>3500</v>
      </c>
      <c r="Y570" s="64">
        <v>3500</v>
      </c>
      <c r="Z570" s="64"/>
      <c r="AA570" s="64"/>
      <c r="AB570" s="64"/>
      <c r="AC570" s="594"/>
      <c r="AD570" s="594"/>
      <c r="AE570" s="594"/>
      <c r="AF570" s="594"/>
      <c r="AG570" s="594"/>
      <c r="AH570" s="594"/>
      <c r="AI570" s="594"/>
      <c r="AJ570" s="595"/>
      <c r="AK570" s="595">
        <f t="shared" si="75"/>
        <v>0</v>
      </c>
      <c r="AL570" s="595">
        <f t="shared" si="76"/>
        <v>2231.1999999999998</v>
      </c>
      <c r="AM570" s="595">
        <v>1300</v>
      </c>
      <c r="AN570" s="595">
        <v>1268.8</v>
      </c>
      <c r="AO570" s="595"/>
      <c r="AP570" s="595"/>
      <c r="AQ570" s="594"/>
      <c r="AR570" s="594"/>
      <c r="AS570" s="596">
        <v>1300</v>
      </c>
      <c r="AT570" s="596">
        <v>1268.8</v>
      </c>
      <c r="AU570" s="597"/>
      <c r="AV570" s="597"/>
      <c r="AW570" s="141"/>
    </row>
    <row r="571" spans="1:54" s="479" customFormat="1" ht="31.5" x14ac:dyDescent="0.25">
      <c r="A571" s="590" t="s">
        <v>813</v>
      </c>
      <c r="B571" s="146" t="s">
        <v>1598</v>
      </c>
      <c r="C571" s="812" t="s">
        <v>1599</v>
      </c>
      <c r="D571" s="5"/>
      <c r="E571" s="591" t="s">
        <v>61</v>
      </c>
      <c r="F571" s="591"/>
      <c r="G571" s="595">
        <v>1290</v>
      </c>
      <c r="H571" s="595">
        <v>1253.4000000000001</v>
      </c>
      <c r="I571" s="593"/>
      <c r="J571" s="593"/>
      <c r="K571" s="593"/>
      <c r="L571" s="593"/>
      <c r="M571" s="593"/>
      <c r="N571" s="593"/>
      <c r="O571" s="593"/>
      <c r="P571" s="593"/>
      <c r="Q571" s="593"/>
      <c r="R571" s="593"/>
      <c r="S571" s="593"/>
      <c r="T571" s="593"/>
      <c r="U571" s="593"/>
      <c r="V571" s="593"/>
      <c r="W571" s="593"/>
      <c r="X571" s="64">
        <v>1300</v>
      </c>
      <c r="Y571" s="64">
        <v>1300</v>
      </c>
      <c r="Z571" s="64"/>
      <c r="AA571" s="64"/>
      <c r="AB571" s="64"/>
      <c r="AC571" s="594"/>
      <c r="AD571" s="594"/>
      <c r="AE571" s="594"/>
      <c r="AF571" s="594"/>
      <c r="AG571" s="594"/>
      <c r="AH571" s="594"/>
      <c r="AI571" s="594"/>
      <c r="AJ571" s="595"/>
      <c r="AK571" s="595">
        <f t="shared" si="75"/>
        <v>0</v>
      </c>
      <c r="AL571" s="595">
        <f t="shared" si="76"/>
        <v>46.599999999999909</v>
      </c>
      <c r="AM571" s="595">
        <v>1290</v>
      </c>
      <c r="AN571" s="595">
        <v>1253.4000000000001</v>
      </c>
      <c r="AO571" s="595"/>
      <c r="AP571" s="595"/>
      <c r="AQ571" s="594"/>
      <c r="AR571" s="594"/>
      <c r="AS571" s="596">
        <v>1290</v>
      </c>
      <c r="AT571" s="596">
        <v>1253.4000000000001</v>
      </c>
      <c r="AU571" s="597"/>
      <c r="AV571" s="597"/>
      <c r="AW571" s="510"/>
      <c r="BB571" s="119"/>
    </row>
    <row r="572" spans="1:54" ht="31.5" x14ac:dyDescent="0.25">
      <c r="A572" s="590" t="s">
        <v>816</v>
      </c>
      <c r="B572" s="146" t="s">
        <v>1600</v>
      </c>
      <c r="C572" s="812" t="s">
        <v>1581</v>
      </c>
      <c r="D572" s="5"/>
      <c r="E572" s="591" t="s">
        <v>61</v>
      </c>
      <c r="F572" s="591"/>
      <c r="G572" s="595">
        <v>1290</v>
      </c>
      <c r="H572" s="595">
        <v>1282</v>
      </c>
      <c r="I572" s="593"/>
      <c r="J572" s="593"/>
      <c r="K572" s="593"/>
      <c r="L572" s="593"/>
      <c r="M572" s="593"/>
      <c r="N572" s="593"/>
      <c r="O572" s="593"/>
      <c r="P572" s="593"/>
      <c r="Q572" s="593"/>
      <c r="R572" s="593"/>
      <c r="S572" s="593"/>
      <c r="T572" s="593"/>
      <c r="U572" s="593"/>
      <c r="V572" s="593"/>
      <c r="W572" s="593"/>
      <c r="X572" s="64">
        <v>1300</v>
      </c>
      <c r="Y572" s="64">
        <v>1300</v>
      </c>
      <c r="Z572" s="64"/>
      <c r="AA572" s="64"/>
      <c r="AB572" s="64"/>
      <c r="AC572" s="594"/>
      <c r="AD572" s="594"/>
      <c r="AE572" s="594"/>
      <c r="AF572" s="594"/>
      <c r="AG572" s="594"/>
      <c r="AH572" s="594"/>
      <c r="AI572" s="594"/>
      <c r="AJ572" s="595"/>
      <c r="AK572" s="595">
        <f t="shared" si="75"/>
        <v>0</v>
      </c>
      <c r="AL572" s="595">
        <f t="shared" si="76"/>
        <v>18</v>
      </c>
      <c r="AM572" s="595">
        <v>1290</v>
      </c>
      <c r="AN572" s="595">
        <v>1282</v>
      </c>
      <c r="AO572" s="595"/>
      <c r="AP572" s="595"/>
      <c r="AQ572" s="594"/>
      <c r="AR572" s="594"/>
      <c r="AS572" s="596">
        <v>1290</v>
      </c>
      <c r="AT572" s="596">
        <v>1282</v>
      </c>
      <c r="AU572" s="597"/>
      <c r="AV572" s="597"/>
      <c r="AW572" s="147"/>
      <c r="AX572" s="119"/>
    </row>
    <row r="573" spans="1:54" ht="31.5" x14ac:dyDescent="0.25">
      <c r="A573" s="590" t="s">
        <v>819</v>
      </c>
      <c r="B573" s="146" t="s">
        <v>1601</v>
      </c>
      <c r="C573" s="812" t="s">
        <v>1576</v>
      </c>
      <c r="D573" s="5"/>
      <c r="E573" s="591" t="s">
        <v>61</v>
      </c>
      <c r="F573" s="591"/>
      <c r="G573" s="595">
        <v>1500</v>
      </c>
      <c r="H573" s="595">
        <v>1468.8</v>
      </c>
      <c r="I573" s="593"/>
      <c r="J573" s="593"/>
      <c r="K573" s="593"/>
      <c r="L573" s="593"/>
      <c r="M573" s="593"/>
      <c r="N573" s="593"/>
      <c r="O573" s="593"/>
      <c r="P573" s="593"/>
      <c r="Q573" s="593"/>
      <c r="R573" s="593"/>
      <c r="S573" s="593"/>
      <c r="T573" s="593"/>
      <c r="U573" s="593"/>
      <c r="V573" s="593"/>
      <c r="W573" s="593"/>
      <c r="X573" s="64">
        <v>1300</v>
      </c>
      <c r="Y573" s="64">
        <v>1300</v>
      </c>
      <c r="Z573" s="64"/>
      <c r="AA573" s="64"/>
      <c r="AB573" s="64"/>
      <c r="AC573" s="594"/>
      <c r="AD573" s="594"/>
      <c r="AE573" s="594"/>
      <c r="AF573" s="594"/>
      <c r="AG573" s="594"/>
      <c r="AH573" s="594"/>
      <c r="AI573" s="594"/>
      <c r="AJ573" s="595"/>
      <c r="AK573" s="595">
        <f t="shared" si="75"/>
        <v>200</v>
      </c>
      <c r="AL573" s="595">
        <f t="shared" si="76"/>
        <v>0</v>
      </c>
      <c r="AM573" s="595">
        <v>1500</v>
      </c>
      <c r="AN573" s="595">
        <v>1468.8</v>
      </c>
      <c r="AO573" s="595"/>
      <c r="AP573" s="595"/>
      <c r="AQ573" s="594"/>
      <c r="AR573" s="594"/>
      <c r="AS573" s="596">
        <v>1500</v>
      </c>
      <c r="AT573" s="596">
        <v>1468.8</v>
      </c>
      <c r="AU573" s="601">
        <v>0</v>
      </c>
      <c r="AV573" s="601">
        <v>0</v>
      </c>
      <c r="AW573" s="147"/>
      <c r="AX573" s="119"/>
    </row>
    <row r="574" spans="1:54" ht="31.5" x14ac:dyDescent="0.25">
      <c r="A574" s="590" t="s">
        <v>821</v>
      </c>
      <c r="B574" s="146" t="s">
        <v>1602</v>
      </c>
      <c r="C574" s="812" t="s">
        <v>1603</v>
      </c>
      <c r="D574" s="591"/>
      <c r="E574" s="591">
        <v>2020</v>
      </c>
      <c r="F574" s="591"/>
      <c r="G574" s="595">
        <v>5000</v>
      </c>
      <c r="H574" s="595">
        <v>4956</v>
      </c>
      <c r="I574" s="593"/>
      <c r="J574" s="593"/>
      <c r="K574" s="593"/>
      <c r="L574" s="593"/>
      <c r="M574" s="593"/>
      <c r="N574" s="593"/>
      <c r="O574" s="593"/>
      <c r="P574" s="593"/>
      <c r="Q574" s="593"/>
      <c r="R574" s="593"/>
      <c r="S574" s="593"/>
      <c r="T574" s="593"/>
      <c r="U574" s="593"/>
      <c r="V574" s="593"/>
      <c r="W574" s="593"/>
      <c r="X574" s="64">
        <v>1500</v>
      </c>
      <c r="Y574" s="64">
        <v>1500</v>
      </c>
      <c r="Z574" s="64"/>
      <c r="AA574" s="64"/>
      <c r="AB574" s="64"/>
      <c r="AC574" s="594"/>
      <c r="AD574" s="594"/>
      <c r="AE574" s="594"/>
      <c r="AF574" s="594"/>
      <c r="AG574" s="594"/>
      <c r="AH574" s="594"/>
      <c r="AI574" s="594"/>
      <c r="AJ574" s="595"/>
      <c r="AK574" s="595">
        <f t="shared" si="75"/>
        <v>3500</v>
      </c>
      <c r="AL574" s="595">
        <f t="shared" si="76"/>
        <v>0</v>
      </c>
      <c r="AM574" s="595">
        <v>5000</v>
      </c>
      <c r="AN574" s="595">
        <v>4956</v>
      </c>
      <c r="AO574" s="595"/>
      <c r="AP574" s="595"/>
      <c r="AQ574" s="594"/>
      <c r="AR574" s="594"/>
      <c r="AS574" s="596">
        <v>5000</v>
      </c>
      <c r="AT574" s="596">
        <v>4956</v>
      </c>
      <c r="AU574" s="602">
        <v>0</v>
      </c>
      <c r="AV574" s="602">
        <v>0</v>
      </c>
      <c r="AW574" s="147"/>
      <c r="AX574" s="119"/>
    </row>
    <row r="575" spans="1:54" s="14" customFormat="1" ht="31.5" x14ac:dyDescent="0.25">
      <c r="A575" s="590" t="s">
        <v>823</v>
      </c>
      <c r="B575" s="146" t="s">
        <v>1604</v>
      </c>
      <c r="C575" s="812" t="s">
        <v>1605</v>
      </c>
      <c r="D575" s="591"/>
      <c r="E575" s="216">
        <v>2020</v>
      </c>
      <c r="F575" s="591"/>
      <c r="G575" s="595">
        <v>12000</v>
      </c>
      <c r="H575" s="595">
        <v>11890</v>
      </c>
      <c r="I575" s="593"/>
      <c r="J575" s="593"/>
      <c r="K575" s="593"/>
      <c r="L575" s="593"/>
      <c r="M575" s="593"/>
      <c r="N575" s="593"/>
      <c r="O575" s="593"/>
      <c r="P575" s="593"/>
      <c r="Q575" s="593"/>
      <c r="R575" s="593"/>
      <c r="S575" s="593"/>
      <c r="T575" s="593"/>
      <c r="U575" s="593"/>
      <c r="V575" s="593"/>
      <c r="W575" s="593"/>
      <c r="X575" s="64"/>
      <c r="Y575" s="64"/>
      <c r="Z575" s="64"/>
      <c r="AA575" s="64"/>
      <c r="AB575" s="64"/>
      <c r="AC575" s="594"/>
      <c r="AD575" s="594"/>
      <c r="AE575" s="594"/>
      <c r="AF575" s="594"/>
      <c r="AG575" s="594"/>
      <c r="AH575" s="594"/>
      <c r="AI575" s="594"/>
      <c r="AJ575" s="595"/>
      <c r="AK575" s="595">
        <f t="shared" ref="AK575:AK580" si="77">IF(AN575-Y575&gt;0,AN575-Y575,0)</f>
        <v>11890</v>
      </c>
      <c r="AL575" s="595">
        <f t="shared" si="76"/>
        <v>0</v>
      </c>
      <c r="AM575" s="595">
        <v>12000</v>
      </c>
      <c r="AN575" s="595">
        <v>11890</v>
      </c>
      <c r="AO575" s="595"/>
      <c r="AP575" s="595"/>
      <c r="AQ575" s="594"/>
      <c r="AR575" s="594"/>
      <c r="AS575" s="596">
        <v>12000</v>
      </c>
      <c r="AT575" s="596">
        <v>11890</v>
      </c>
      <c r="AU575" s="597"/>
      <c r="AV575" s="597"/>
      <c r="AW575" s="141"/>
    </row>
    <row r="576" spans="1:54" s="479" customFormat="1" ht="31.5" x14ac:dyDescent="0.25">
      <c r="A576" s="590" t="s">
        <v>825</v>
      </c>
      <c r="B576" s="146" t="s">
        <v>1606</v>
      </c>
      <c r="C576" s="812" t="s">
        <v>1576</v>
      </c>
      <c r="D576" s="591"/>
      <c r="E576" s="216">
        <v>2020</v>
      </c>
      <c r="F576" s="591"/>
      <c r="G576" s="595">
        <v>7000</v>
      </c>
      <c r="H576" s="595">
        <v>6910</v>
      </c>
      <c r="I576" s="593"/>
      <c r="J576" s="593"/>
      <c r="K576" s="593"/>
      <c r="L576" s="593"/>
      <c r="M576" s="593"/>
      <c r="N576" s="593"/>
      <c r="O576" s="593"/>
      <c r="P576" s="593"/>
      <c r="Q576" s="593"/>
      <c r="R576" s="593"/>
      <c r="S576" s="593"/>
      <c r="T576" s="593"/>
      <c r="U576" s="593"/>
      <c r="V576" s="593"/>
      <c r="W576" s="593"/>
      <c r="X576" s="64"/>
      <c r="Y576" s="64"/>
      <c r="Z576" s="64"/>
      <c r="AA576" s="64"/>
      <c r="AB576" s="64"/>
      <c r="AC576" s="594"/>
      <c r="AD576" s="594"/>
      <c r="AE576" s="594"/>
      <c r="AF576" s="594"/>
      <c r="AG576" s="594"/>
      <c r="AH576" s="594"/>
      <c r="AI576" s="594"/>
      <c r="AJ576" s="595"/>
      <c r="AK576" s="595">
        <f t="shared" si="77"/>
        <v>6910</v>
      </c>
      <c r="AL576" s="595">
        <f t="shared" si="76"/>
        <v>0</v>
      </c>
      <c r="AM576" s="595">
        <v>7000</v>
      </c>
      <c r="AN576" s="595">
        <v>6910</v>
      </c>
      <c r="AO576" s="595"/>
      <c r="AP576" s="595"/>
      <c r="AQ576" s="594"/>
      <c r="AR576" s="594"/>
      <c r="AS576" s="596">
        <v>7000</v>
      </c>
      <c r="AT576" s="596">
        <v>6910</v>
      </c>
      <c r="AU576" s="597"/>
      <c r="AV576" s="597"/>
      <c r="AW576" s="510"/>
    </row>
    <row r="577" spans="1:54" ht="31.5" x14ac:dyDescent="0.25">
      <c r="A577" s="590" t="s">
        <v>827</v>
      </c>
      <c r="B577" s="146" t="s">
        <v>1607</v>
      </c>
      <c r="C577" s="812" t="s">
        <v>1599</v>
      </c>
      <c r="D577" s="591"/>
      <c r="E577" s="216">
        <v>2020</v>
      </c>
      <c r="F577" s="591"/>
      <c r="G577" s="595">
        <v>3000</v>
      </c>
      <c r="H577" s="595">
        <v>2810</v>
      </c>
      <c r="I577" s="593"/>
      <c r="J577" s="593"/>
      <c r="K577" s="593"/>
      <c r="L577" s="593"/>
      <c r="M577" s="593"/>
      <c r="N577" s="593"/>
      <c r="O577" s="593"/>
      <c r="P577" s="593"/>
      <c r="Q577" s="593"/>
      <c r="R577" s="593"/>
      <c r="S577" s="593"/>
      <c r="T577" s="593"/>
      <c r="U577" s="593"/>
      <c r="V577" s="593"/>
      <c r="W577" s="593"/>
      <c r="X577" s="64"/>
      <c r="Y577" s="64"/>
      <c r="Z577" s="64"/>
      <c r="AA577" s="64"/>
      <c r="AB577" s="64"/>
      <c r="AC577" s="594"/>
      <c r="AD577" s="594"/>
      <c r="AE577" s="594"/>
      <c r="AF577" s="594"/>
      <c r="AG577" s="594"/>
      <c r="AH577" s="594"/>
      <c r="AI577" s="594"/>
      <c r="AJ577" s="595"/>
      <c r="AK577" s="595">
        <f t="shared" si="77"/>
        <v>2810</v>
      </c>
      <c r="AL577" s="595">
        <f t="shared" si="76"/>
        <v>0</v>
      </c>
      <c r="AM577" s="595">
        <v>3000</v>
      </c>
      <c r="AN577" s="595">
        <v>2810</v>
      </c>
      <c r="AO577" s="595"/>
      <c r="AP577" s="595"/>
      <c r="AQ577" s="594"/>
      <c r="AR577" s="594"/>
      <c r="AS577" s="596">
        <v>3000</v>
      </c>
      <c r="AT577" s="596">
        <v>2810</v>
      </c>
      <c r="AU577" s="597"/>
      <c r="AV577" s="597"/>
      <c r="AW577" s="147"/>
      <c r="AX577" s="119"/>
    </row>
    <row r="578" spans="1:54" ht="31.5" x14ac:dyDescent="0.25">
      <c r="A578" s="590" t="s">
        <v>829</v>
      </c>
      <c r="B578" s="146" t="s">
        <v>1608</v>
      </c>
      <c r="C578" s="812" t="s">
        <v>91</v>
      </c>
      <c r="D578" s="591"/>
      <c r="E578" s="216">
        <v>2020</v>
      </c>
      <c r="F578" s="591"/>
      <c r="G578" s="595">
        <v>4200</v>
      </c>
      <c r="H578" s="595">
        <v>3580</v>
      </c>
      <c r="I578" s="593"/>
      <c r="J578" s="593"/>
      <c r="K578" s="593"/>
      <c r="L578" s="593"/>
      <c r="M578" s="593"/>
      <c r="N578" s="593"/>
      <c r="O578" s="593"/>
      <c r="P578" s="593"/>
      <c r="Q578" s="593"/>
      <c r="R578" s="593"/>
      <c r="S578" s="593"/>
      <c r="T578" s="593"/>
      <c r="U578" s="593"/>
      <c r="V578" s="593"/>
      <c r="W578" s="593"/>
      <c r="X578" s="64"/>
      <c r="Y578" s="64"/>
      <c r="Z578" s="64"/>
      <c r="AA578" s="64"/>
      <c r="AB578" s="64"/>
      <c r="AC578" s="594"/>
      <c r="AD578" s="594"/>
      <c r="AE578" s="594"/>
      <c r="AF578" s="594"/>
      <c r="AG578" s="594"/>
      <c r="AH578" s="594"/>
      <c r="AI578" s="594"/>
      <c r="AJ578" s="595"/>
      <c r="AK578" s="595">
        <f t="shared" si="77"/>
        <v>3580</v>
      </c>
      <c r="AL578" s="595">
        <f t="shared" si="76"/>
        <v>0</v>
      </c>
      <c r="AM578" s="595">
        <v>4200</v>
      </c>
      <c r="AN578" s="595">
        <v>3580</v>
      </c>
      <c r="AO578" s="595"/>
      <c r="AP578" s="595"/>
      <c r="AQ578" s="594"/>
      <c r="AR578" s="594"/>
      <c r="AS578" s="596">
        <v>4200</v>
      </c>
      <c r="AT578" s="596">
        <v>3580</v>
      </c>
      <c r="AU578" s="597"/>
      <c r="AV578" s="597"/>
      <c r="AW578" s="147"/>
      <c r="AX578" s="119"/>
    </row>
    <row r="579" spans="1:54" ht="31.5" x14ac:dyDescent="0.25">
      <c r="A579" s="590" t="s">
        <v>831</v>
      </c>
      <c r="B579" s="146" t="s">
        <v>1609</v>
      </c>
      <c r="C579" s="812" t="s">
        <v>90</v>
      </c>
      <c r="D579" s="591"/>
      <c r="E579" s="216">
        <v>2020</v>
      </c>
      <c r="F579" s="591"/>
      <c r="G579" s="595">
        <v>2100</v>
      </c>
      <c r="H579" s="595">
        <v>1330</v>
      </c>
      <c r="I579" s="593"/>
      <c r="J579" s="593"/>
      <c r="K579" s="593"/>
      <c r="L579" s="593"/>
      <c r="M579" s="593"/>
      <c r="N579" s="593"/>
      <c r="O579" s="593"/>
      <c r="P579" s="593"/>
      <c r="Q579" s="593"/>
      <c r="R579" s="593"/>
      <c r="S579" s="593"/>
      <c r="T579" s="593"/>
      <c r="U579" s="593"/>
      <c r="V579" s="593"/>
      <c r="W579" s="593"/>
      <c r="X579" s="64"/>
      <c r="Y579" s="64"/>
      <c r="Z579" s="64"/>
      <c r="AA579" s="64"/>
      <c r="AB579" s="64"/>
      <c r="AC579" s="594"/>
      <c r="AD579" s="594"/>
      <c r="AE579" s="594"/>
      <c r="AF579" s="594"/>
      <c r="AG579" s="594"/>
      <c r="AH579" s="594"/>
      <c r="AI579" s="594"/>
      <c r="AJ579" s="595"/>
      <c r="AK579" s="595">
        <f t="shared" si="77"/>
        <v>1330</v>
      </c>
      <c r="AL579" s="595">
        <f t="shared" si="76"/>
        <v>0</v>
      </c>
      <c r="AM579" s="595">
        <v>2100</v>
      </c>
      <c r="AN579" s="595">
        <v>1330</v>
      </c>
      <c r="AO579" s="595"/>
      <c r="AP579" s="595"/>
      <c r="AQ579" s="594"/>
      <c r="AR579" s="594"/>
      <c r="AS579" s="596">
        <v>2100</v>
      </c>
      <c r="AT579" s="596">
        <v>1330</v>
      </c>
      <c r="AU579" s="597"/>
      <c r="AV579" s="597"/>
      <c r="AW579" s="147"/>
      <c r="AX579" s="119"/>
    </row>
    <row r="580" spans="1:54" ht="31.5" x14ac:dyDescent="0.25">
      <c r="A580" s="590" t="s">
        <v>833</v>
      </c>
      <c r="B580" s="146" t="s">
        <v>1610</v>
      </c>
      <c r="C580" s="812" t="s">
        <v>1599</v>
      </c>
      <c r="D580" s="591"/>
      <c r="E580" s="216">
        <v>2020</v>
      </c>
      <c r="F580" s="591"/>
      <c r="G580" s="595">
        <v>8000</v>
      </c>
      <c r="H580" s="595">
        <v>7950</v>
      </c>
      <c r="I580" s="593"/>
      <c r="J580" s="593"/>
      <c r="K580" s="593"/>
      <c r="L580" s="593"/>
      <c r="M580" s="593"/>
      <c r="N580" s="593"/>
      <c r="O580" s="593"/>
      <c r="P580" s="593"/>
      <c r="Q580" s="593"/>
      <c r="R580" s="593"/>
      <c r="S580" s="593"/>
      <c r="T580" s="593"/>
      <c r="U580" s="593"/>
      <c r="V580" s="593"/>
      <c r="W580" s="593"/>
      <c r="X580" s="64"/>
      <c r="Y580" s="64"/>
      <c r="Z580" s="64"/>
      <c r="AA580" s="64"/>
      <c r="AB580" s="64"/>
      <c r="AC580" s="594"/>
      <c r="AD580" s="594"/>
      <c r="AE580" s="594"/>
      <c r="AF580" s="594"/>
      <c r="AG580" s="594"/>
      <c r="AH580" s="594"/>
      <c r="AI580" s="594"/>
      <c r="AJ580" s="595"/>
      <c r="AK580" s="595">
        <f t="shared" si="77"/>
        <v>7950</v>
      </c>
      <c r="AL580" s="595">
        <f t="shared" si="76"/>
        <v>0</v>
      </c>
      <c r="AM580" s="595">
        <v>8000</v>
      </c>
      <c r="AN580" s="595">
        <v>7950</v>
      </c>
      <c r="AO580" s="595"/>
      <c r="AP580" s="595"/>
      <c r="AQ580" s="594"/>
      <c r="AR580" s="594"/>
      <c r="AS580" s="596">
        <v>8000</v>
      </c>
      <c r="AT580" s="596">
        <v>7950</v>
      </c>
      <c r="AU580" s="597"/>
      <c r="AV580" s="597"/>
      <c r="AW580" s="147"/>
      <c r="AX580" s="119"/>
    </row>
    <row r="581" spans="1:54" ht="31.5" x14ac:dyDescent="0.25">
      <c r="A581" s="590" t="s">
        <v>835</v>
      </c>
      <c r="B581" s="146" t="s">
        <v>1611</v>
      </c>
      <c r="C581" s="812" t="s">
        <v>1567</v>
      </c>
      <c r="D581" s="591"/>
      <c r="E581" s="216">
        <v>2020</v>
      </c>
      <c r="F581" s="591"/>
      <c r="G581" s="595">
        <v>4200</v>
      </c>
      <c r="H581" s="595">
        <v>4180</v>
      </c>
      <c r="I581" s="593"/>
      <c r="J581" s="593"/>
      <c r="K581" s="593"/>
      <c r="L581" s="593"/>
      <c r="M581" s="593"/>
      <c r="N581" s="593"/>
      <c r="O581" s="593"/>
      <c r="P581" s="593"/>
      <c r="Q581" s="593"/>
      <c r="R581" s="593"/>
      <c r="S581" s="593"/>
      <c r="T581" s="593"/>
      <c r="U581" s="593"/>
      <c r="V581" s="593"/>
      <c r="W581" s="593"/>
      <c r="X581" s="64"/>
      <c r="Y581" s="64"/>
      <c r="Z581" s="64"/>
      <c r="AA581" s="64"/>
      <c r="AB581" s="64"/>
      <c r="AC581" s="594"/>
      <c r="AD581" s="594"/>
      <c r="AE581" s="594"/>
      <c r="AF581" s="594"/>
      <c r="AG581" s="594"/>
      <c r="AH581" s="594"/>
      <c r="AI581" s="594"/>
      <c r="AJ581" s="595"/>
      <c r="AK581" s="595"/>
      <c r="AL581" s="595"/>
      <c r="AM581" s="595">
        <v>4200</v>
      </c>
      <c r="AN581" s="595">
        <v>4180</v>
      </c>
      <c r="AO581" s="595"/>
      <c r="AP581" s="595"/>
      <c r="AQ581" s="603"/>
      <c r="AR581" s="603"/>
      <c r="AS581" s="599">
        <v>4200</v>
      </c>
      <c r="AT581" s="599">
        <v>4180</v>
      </c>
      <c r="AU581" s="597"/>
      <c r="AV581" s="597"/>
      <c r="AW581" s="147"/>
      <c r="AX581" s="119"/>
      <c r="AY581" s="604"/>
    </row>
    <row r="582" spans="1:54" ht="31.5" x14ac:dyDescent="0.25">
      <c r="A582" s="590" t="s">
        <v>837</v>
      </c>
      <c r="B582" s="146" t="s">
        <v>1612</v>
      </c>
      <c r="C582" s="812" t="s">
        <v>1581</v>
      </c>
      <c r="D582" s="591"/>
      <c r="E582" s="216">
        <v>2020</v>
      </c>
      <c r="F582" s="591"/>
      <c r="G582" s="595">
        <v>1950</v>
      </c>
      <c r="H582" s="595">
        <v>1940</v>
      </c>
      <c r="I582" s="593"/>
      <c r="J582" s="593"/>
      <c r="K582" s="593"/>
      <c r="L582" s="593"/>
      <c r="M582" s="593"/>
      <c r="N582" s="593"/>
      <c r="O582" s="593"/>
      <c r="P582" s="593"/>
      <c r="Q582" s="593"/>
      <c r="R582" s="593"/>
      <c r="S582" s="593"/>
      <c r="T582" s="593"/>
      <c r="U582" s="593"/>
      <c r="V582" s="593"/>
      <c r="W582" s="593"/>
      <c r="X582" s="64"/>
      <c r="Y582" s="64"/>
      <c r="Z582" s="64"/>
      <c r="AA582" s="64"/>
      <c r="AB582" s="64"/>
      <c r="AC582" s="594"/>
      <c r="AD582" s="594"/>
      <c r="AE582" s="594"/>
      <c r="AF582" s="594"/>
      <c r="AG582" s="594"/>
      <c r="AH582" s="594"/>
      <c r="AI582" s="594"/>
      <c r="AJ582" s="595"/>
      <c r="AK582" s="595"/>
      <c r="AL582" s="595"/>
      <c r="AM582" s="595">
        <v>1950</v>
      </c>
      <c r="AN582" s="595">
        <v>1940</v>
      </c>
      <c r="AO582" s="595"/>
      <c r="AP582" s="595"/>
      <c r="AQ582" s="599"/>
      <c r="AR582" s="594"/>
      <c r="AS582" s="600">
        <v>1950</v>
      </c>
      <c r="AT582" s="600">
        <v>1940</v>
      </c>
      <c r="AU582" s="597"/>
      <c r="AV582" s="597"/>
      <c r="AW582" s="147"/>
      <c r="AX582" s="119"/>
      <c r="AY582" s="604"/>
    </row>
    <row r="583" spans="1:54" ht="31.5" x14ac:dyDescent="0.25">
      <c r="A583" s="590" t="s">
        <v>839</v>
      </c>
      <c r="B583" s="146" t="s">
        <v>1613</v>
      </c>
      <c r="C583" s="812" t="s">
        <v>1569</v>
      </c>
      <c r="D583" s="591"/>
      <c r="E583" s="216">
        <v>2020</v>
      </c>
      <c r="F583" s="591"/>
      <c r="G583" s="595">
        <v>3300</v>
      </c>
      <c r="H583" s="595">
        <v>1601</v>
      </c>
      <c r="I583" s="593"/>
      <c r="J583" s="593"/>
      <c r="K583" s="593"/>
      <c r="L583" s="593"/>
      <c r="M583" s="593"/>
      <c r="N583" s="593"/>
      <c r="O583" s="593"/>
      <c r="P583" s="593"/>
      <c r="Q583" s="593"/>
      <c r="R583" s="593"/>
      <c r="S583" s="593"/>
      <c r="T583" s="593"/>
      <c r="U583" s="593"/>
      <c r="V583" s="593"/>
      <c r="W583" s="593"/>
      <c r="X583" s="64"/>
      <c r="Y583" s="64"/>
      <c r="Z583" s="64"/>
      <c r="AA583" s="64"/>
      <c r="AB583" s="64"/>
      <c r="AC583" s="594"/>
      <c r="AD583" s="594"/>
      <c r="AE583" s="594"/>
      <c r="AF583" s="594"/>
      <c r="AG583" s="594"/>
      <c r="AH583" s="594"/>
      <c r="AI583" s="594"/>
      <c r="AJ583" s="595"/>
      <c r="AK583" s="595"/>
      <c r="AL583" s="595"/>
      <c r="AM583" s="595">
        <v>3300</v>
      </c>
      <c r="AN583" s="595">
        <v>1601</v>
      </c>
      <c r="AO583" s="595"/>
      <c r="AP583" s="595"/>
      <c r="AQ583" s="599"/>
      <c r="AR583" s="594"/>
      <c r="AS583" s="600">
        <v>3300</v>
      </c>
      <c r="AT583" s="600">
        <v>1601</v>
      </c>
      <c r="AU583" s="597"/>
      <c r="AV583" s="597"/>
      <c r="AW583" s="147"/>
      <c r="AX583" s="119"/>
      <c r="AY583" s="604"/>
    </row>
    <row r="584" spans="1:54" ht="31.5" x14ac:dyDescent="0.25">
      <c r="A584" s="590" t="s">
        <v>841</v>
      </c>
      <c r="B584" s="146" t="s">
        <v>1614</v>
      </c>
      <c r="C584" s="812" t="s">
        <v>1615</v>
      </c>
      <c r="D584" s="605"/>
      <c r="E584" s="216">
        <v>2020</v>
      </c>
      <c r="F584" s="605"/>
      <c r="G584" s="594">
        <v>6500</v>
      </c>
      <c r="H584" s="594">
        <v>6450</v>
      </c>
      <c r="I584" s="606"/>
      <c r="J584" s="606"/>
      <c r="K584" s="606"/>
      <c r="L584" s="606"/>
      <c r="M584" s="606"/>
      <c r="N584" s="606"/>
      <c r="O584" s="606"/>
      <c r="P584" s="606" t="e">
        <f>+#REF!</f>
        <v>#REF!</v>
      </c>
      <c r="Q584" s="606" t="e">
        <f>+#REF!</f>
        <v>#REF!</v>
      </c>
      <c r="R584" s="606" t="e">
        <f>+#REF!</f>
        <v>#REF!</v>
      </c>
      <c r="S584" s="606" t="e">
        <f>+#REF!</f>
        <v>#REF!</v>
      </c>
      <c r="T584" s="606" t="e">
        <f>+#REF!</f>
        <v>#REF!</v>
      </c>
      <c r="U584" s="606" t="e">
        <f>+#REF!</f>
        <v>#REF!</v>
      </c>
      <c r="V584" s="606" t="e">
        <f>+#REF!</f>
        <v>#REF!</v>
      </c>
      <c r="W584" s="606" t="e">
        <f>+#REF!</f>
        <v>#REF!</v>
      </c>
      <c r="X584" s="606" t="e">
        <f>+#REF!</f>
        <v>#REF!</v>
      </c>
      <c r="Y584" s="606" t="e">
        <f>+#REF!</f>
        <v>#REF!</v>
      </c>
      <c r="Z584" s="606" t="e">
        <f>+#REF!</f>
        <v>#REF!</v>
      </c>
      <c r="AA584" s="606" t="e">
        <f>+#REF!</f>
        <v>#REF!</v>
      </c>
      <c r="AB584" s="606" t="e">
        <f>+#REF!</f>
        <v>#REF!</v>
      </c>
      <c r="AC584" s="606" t="e">
        <f>+#REF!</f>
        <v>#REF!</v>
      </c>
      <c r="AD584" s="606" t="e">
        <f>+#REF!</f>
        <v>#REF!</v>
      </c>
      <c r="AE584" s="606" t="e">
        <f>+#REF!</f>
        <v>#REF!</v>
      </c>
      <c r="AF584" s="606" t="e">
        <f>+#REF!</f>
        <v>#REF!</v>
      </c>
      <c r="AG584" s="606" t="e">
        <f>+#REF!</f>
        <v>#REF!</v>
      </c>
      <c r="AH584" s="606" t="e">
        <f>+#REF!</f>
        <v>#REF!</v>
      </c>
      <c r="AI584" s="606" t="e">
        <f>+#REF!</f>
        <v>#REF!</v>
      </c>
      <c r="AJ584" s="606" t="e">
        <f>+#REF!</f>
        <v>#REF!</v>
      </c>
      <c r="AK584" s="606" t="e">
        <f>+#REF!</f>
        <v>#REF!</v>
      </c>
      <c r="AL584" s="606" t="e">
        <f>+#REF!</f>
        <v>#REF!</v>
      </c>
      <c r="AM584" s="594">
        <v>6500</v>
      </c>
      <c r="AN584" s="594">
        <v>6450</v>
      </c>
      <c r="AO584" s="606"/>
      <c r="AP584" s="606"/>
      <c r="AQ584" s="606"/>
      <c r="AR584" s="606"/>
      <c r="AS584" s="594">
        <v>6500</v>
      </c>
      <c r="AT584" s="594">
        <v>6450</v>
      </c>
      <c r="AU584" s="594"/>
      <c r="AV584" s="606"/>
      <c r="AW584" s="147"/>
      <c r="AX584" s="119"/>
      <c r="AY584" s="604"/>
      <c r="BB584" s="14"/>
    </row>
    <row r="585" spans="1:54" ht="38.25" customHeight="1" x14ac:dyDescent="0.25">
      <c r="A585" s="426" t="s">
        <v>721</v>
      </c>
      <c r="B585" s="427" t="s">
        <v>1616</v>
      </c>
      <c r="C585" s="464"/>
      <c r="D585" s="464"/>
      <c r="E585" s="464"/>
      <c r="F585" s="464"/>
      <c r="G585" s="465">
        <f>+G586</f>
        <v>428.1</v>
      </c>
      <c r="H585" s="465">
        <f t="shared" ref="H585:AV585" si="78">+H586</f>
        <v>68</v>
      </c>
      <c r="I585" s="465">
        <f t="shared" si="78"/>
        <v>0</v>
      </c>
      <c r="J585" s="465">
        <f t="shared" si="78"/>
        <v>0</v>
      </c>
      <c r="K585" s="465">
        <f t="shared" si="78"/>
        <v>0</v>
      </c>
      <c r="L585" s="465">
        <f t="shared" si="78"/>
        <v>0</v>
      </c>
      <c r="M585" s="465">
        <f t="shared" si="78"/>
        <v>0</v>
      </c>
      <c r="N585" s="465">
        <f t="shared" si="78"/>
        <v>0</v>
      </c>
      <c r="O585" s="465">
        <f t="shared" si="78"/>
        <v>0</v>
      </c>
      <c r="P585" s="465">
        <f t="shared" si="78"/>
        <v>0</v>
      </c>
      <c r="Q585" s="465">
        <f t="shared" si="78"/>
        <v>0</v>
      </c>
      <c r="R585" s="465">
        <f t="shared" si="78"/>
        <v>0</v>
      </c>
      <c r="S585" s="465">
        <f t="shared" si="78"/>
        <v>0</v>
      </c>
      <c r="T585" s="465">
        <f t="shared" si="78"/>
        <v>0</v>
      </c>
      <c r="U585" s="465">
        <f t="shared" si="78"/>
        <v>0</v>
      </c>
      <c r="V585" s="465">
        <f t="shared" si="78"/>
        <v>0</v>
      </c>
      <c r="W585" s="465">
        <f t="shared" si="78"/>
        <v>0</v>
      </c>
      <c r="X585" s="465">
        <f t="shared" si="78"/>
        <v>3991</v>
      </c>
      <c r="Y585" s="465">
        <f t="shared" si="78"/>
        <v>2355</v>
      </c>
      <c r="Z585" s="465">
        <f t="shared" si="78"/>
        <v>0</v>
      </c>
      <c r="AA585" s="465">
        <f t="shared" si="78"/>
        <v>0</v>
      </c>
      <c r="AB585" s="465">
        <f t="shared" si="78"/>
        <v>0</v>
      </c>
      <c r="AC585" s="465">
        <f t="shared" si="78"/>
        <v>0</v>
      </c>
      <c r="AD585" s="465">
        <f t="shared" si="78"/>
        <v>428.1</v>
      </c>
      <c r="AE585" s="465">
        <f t="shared" si="78"/>
        <v>68</v>
      </c>
      <c r="AF585" s="465">
        <f t="shared" si="78"/>
        <v>0</v>
      </c>
      <c r="AG585" s="465">
        <f t="shared" si="78"/>
        <v>0</v>
      </c>
      <c r="AH585" s="465">
        <f t="shared" si="78"/>
        <v>247</v>
      </c>
      <c r="AI585" s="465">
        <f t="shared" si="78"/>
        <v>247</v>
      </c>
      <c r="AJ585" s="465">
        <f t="shared" si="78"/>
        <v>0</v>
      </c>
      <c r="AK585" s="465">
        <f t="shared" si="78"/>
        <v>0</v>
      </c>
      <c r="AL585" s="465">
        <f t="shared" si="78"/>
        <v>0</v>
      </c>
      <c r="AM585" s="465">
        <f t="shared" si="78"/>
        <v>2437</v>
      </c>
      <c r="AN585" s="465">
        <f t="shared" si="78"/>
        <v>2355</v>
      </c>
      <c r="AO585" s="465">
        <f t="shared" si="78"/>
        <v>0</v>
      </c>
      <c r="AP585" s="465">
        <f t="shared" si="78"/>
        <v>0</v>
      </c>
      <c r="AQ585" s="465">
        <f t="shared" si="78"/>
        <v>0</v>
      </c>
      <c r="AR585" s="465">
        <f t="shared" si="78"/>
        <v>0</v>
      </c>
      <c r="AS585" s="465">
        <f t="shared" si="78"/>
        <v>2437</v>
      </c>
      <c r="AT585" s="465">
        <f t="shared" si="78"/>
        <v>2355</v>
      </c>
      <c r="AU585" s="465">
        <f t="shared" si="78"/>
        <v>0</v>
      </c>
      <c r="AV585" s="465">
        <f t="shared" si="78"/>
        <v>0</v>
      </c>
      <c r="AW585" s="147"/>
      <c r="AX585" s="119"/>
      <c r="AY585" s="604"/>
      <c r="BB585" s="14"/>
    </row>
    <row r="586" spans="1:54" ht="31.5" x14ac:dyDescent="0.25">
      <c r="A586" s="469"/>
      <c r="B586" s="470" t="s">
        <v>735</v>
      </c>
      <c r="C586" s="471"/>
      <c r="D586" s="471"/>
      <c r="E586" s="471"/>
      <c r="F586" s="471"/>
      <c r="G586" s="472">
        <f t="shared" ref="G586:AM586" si="79">+SUM(G587:G589)</f>
        <v>428.1</v>
      </c>
      <c r="H586" s="472">
        <f t="shared" si="79"/>
        <v>68</v>
      </c>
      <c r="I586" s="472">
        <f t="shared" si="79"/>
        <v>0</v>
      </c>
      <c r="J586" s="472">
        <f t="shared" si="79"/>
        <v>0</v>
      </c>
      <c r="K586" s="472">
        <f t="shared" si="79"/>
        <v>0</v>
      </c>
      <c r="L586" s="472">
        <f t="shared" si="79"/>
        <v>0</v>
      </c>
      <c r="M586" s="472">
        <f t="shared" si="79"/>
        <v>0</v>
      </c>
      <c r="N586" s="472">
        <f t="shared" si="79"/>
        <v>0</v>
      </c>
      <c r="O586" s="472">
        <f t="shared" si="79"/>
        <v>0</v>
      </c>
      <c r="P586" s="472">
        <f t="shared" si="79"/>
        <v>0</v>
      </c>
      <c r="Q586" s="472">
        <f t="shared" si="79"/>
        <v>0</v>
      </c>
      <c r="R586" s="472">
        <f t="shared" si="79"/>
        <v>0</v>
      </c>
      <c r="S586" s="472">
        <f t="shared" si="79"/>
        <v>0</v>
      </c>
      <c r="T586" s="472">
        <f t="shared" si="79"/>
        <v>0</v>
      </c>
      <c r="U586" s="472">
        <f t="shared" si="79"/>
        <v>0</v>
      </c>
      <c r="V586" s="472">
        <f t="shared" si="79"/>
        <v>0</v>
      </c>
      <c r="W586" s="472">
        <f t="shared" si="79"/>
        <v>0</v>
      </c>
      <c r="X586" s="472">
        <f t="shared" si="79"/>
        <v>3991</v>
      </c>
      <c r="Y586" s="472">
        <f t="shared" si="79"/>
        <v>2355</v>
      </c>
      <c r="Z586" s="472">
        <f t="shared" si="79"/>
        <v>0</v>
      </c>
      <c r="AA586" s="472">
        <f t="shared" si="79"/>
        <v>0</v>
      </c>
      <c r="AB586" s="472">
        <f t="shared" si="79"/>
        <v>0</v>
      </c>
      <c r="AC586" s="472">
        <f t="shared" si="79"/>
        <v>0</v>
      </c>
      <c r="AD586" s="472">
        <f t="shared" si="79"/>
        <v>428.1</v>
      </c>
      <c r="AE586" s="472">
        <f t="shared" si="79"/>
        <v>68</v>
      </c>
      <c r="AF586" s="472">
        <f t="shared" si="79"/>
        <v>0</v>
      </c>
      <c r="AG586" s="472">
        <f t="shared" si="79"/>
        <v>0</v>
      </c>
      <c r="AH586" s="472">
        <f t="shared" si="79"/>
        <v>247</v>
      </c>
      <c r="AI586" s="472">
        <f t="shared" si="79"/>
        <v>247</v>
      </c>
      <c r="AJ586" s="472">
        <f t="shared" si="79"/>
        <v>0</v>
      </c>
      <c r="AK586" s="472">
        <f t="shared" si="79"/>
        <v>0</v>
      </c>
      <c r="AL586" s="472">
        <f t="shared" si="79"/>
        <v>0</v>
      </c>
      <c r="AM586" s="472">
        <f t="shared" si="79"/>
        <v>2437</v>
      </c>
      <c r="AN586" s="472">
        <f t="shared" ref="AN586:AV586" si="80">+SUM(AN587:AN589)</f>
        <v>2355</v>
      </c>
      <c r="AO586" s="472">
        <f t="shared" si="80"/>
        <v>0</v>
      </c>
      <c r="AP586" s="472">
        <f t="shared" si="80"/>
        <v>0</v>
      </c>
      <c r="AQ586" s="472">
        <f t="shared" si="80"/>
        <v>0</v>
      </c>
      <c r="AR586" s="472">
        <f t="shared" si="80"/>
        <v>0</v>
      </c>
      <c r="AS586" s="472">
        <f t="shared" si="80"/>
        <v>2437</v>
      </c>
      <c r="AT586" s="472">
        <f t="shared" si="80"/>
        <v>2355</v>
      </c>
      <c r="AU586" s="472">
        <f t="shared" si="80"/>
        <v>0</v>
      </c>
      <c r="AV586" s="472">
        <f t="shared" si="80"/>
        <v>0</v>
      </c>
      <c r="AW586" s="147"/>
      <c r="AX586" s="119"/>
      <c r="AY586" s="604"/>
      <c r="BB586" s="14"/>
    </row>
    <row r="587" spans="1:54" ht="31.5" x14ac:dyDescent="0.25">
      <c r="A587" s="448" t="s">
        <v>688</v>
      </c>
      <c r="B587" s="449" t="s">
        <v>1617</v>
      </c>
      <c r="C587" s="450" t="s">
        <v>1618</v>
      </c>
      <c r="D587" s="450"/>
      <c r="E587" s="450" t="s">
        <v>1063</v>
      </c>
      <c r="F587" s="450"/>
      <c r="G587" s="452">
        <v>428.1</v>
      </c>
      <c r="H587" s="452">
        <v>68</v>
      </c>
      <c r="I587" s="492"/>
      <c r="J587" s="492"/>
      <c r="K587" s="492"/>
      <c r="L587" s="492"/>
      <c r="M587" s="492"/>
      <c r="N587" s="492"/>
      <c r="O587" s="492"/>
      <c r="P587" s="492"/>
      <c r="Q587" s="492"/>
      <c r="R587" s="492"/>
      <c r="S587" s="492"/>
      <c r="T587" s="492"/>
      <c r="U587" s="492"/>
      <c r="V587" s="492"/>
      <c r="W587" s="492"/>
      <c r="X587" s="453"/>
      <c r="Y587" s="453">
        <v>68</v>
      </c>
      <c r="Z587" s="453"/>
      <c r="AA587" s="453"/>
      <c r="AB587" s="453"/>
      <c r="AC587" s="452"/>
      <c r="AD587" s="452">
        <v>428.1</v>
      </c>
      <c r="AE587" s="452">
        <v>68</v>
      </c>
      <c r="AF587" s="452"/>
      <c r="AG587" s="452"/>
      <c r="AH587" s="452"/>
      <c r="AI587" s="452"/>
      <c r="AJ587" s="454"/>
      <c r="AK587" s="454">
        <f>IF(AN587-Y587&gt;0,AM587-Y587,0)</f>
        <v>0</v>
      </c>
      <c r="AL587" s="454">
        <f>IF(Y587-AN587&gt;0,Y587-AN587,0)</f>
        <v>0</v>
      </c>
      <c r="AM587" s="453">
        <v>68</v>
      </c>
      <c r="AN587" s="453">
        <v>68</v>
      </c>
      <c r="AO587" s="454"/>
      <c r="AP587" s="454"/>
      <c r="AQ587" s="452"/>
      <c r="AR587" s="452"/>
      <c r="AS587" s="497">
        <v>68</v>
      </c>
      <c r="AT587" s="497">
        <v>68</v>
      </c>
      <c r="AU587" s="151"/>
      <c r="AV587" s="151"/>
      <c r="AW587" s="147"/>
      <c r="AX587" s="119"/>
      <c r="AY587" s="604"/>
      <c r="BB587" s="14"/>
    </row>
    <row r="588" spans="1:54" ht="47.25" x14ac:dyDescent="0.25">
      <c r="A588" s="448" t="s">
        <v>693</v>
      </c>
      <c r="B588" s="449" t="s">
        <v>1619</v>
      </c>
      <c r="C588" s="450" t="s">
        <v>1618</v>
      </c>
      <c r="D588" s="450"/>
      <c r="E588" s="450" t="s">
        <v>57</v>
      </c>
      <c r="F588" s="450"/>
      <c r="G588" s="452"/>
      <c r="H588" s="452"/>
      <c r="I588" s="492"/>
      <c r="J588" s="492"/>
      <c r="K588" s="492"/>
      <c r="L588" s="492"/>
      <c r="M588" s="492"/>
      <c r="N588" s="492"/>
      <c r="O588" s="492"/>
      <c r="P588" s="492"/>
      <c r="Q588" s="492"/>
      <c r="R588" s="492"/>
      <c r="S588" s="492"/>
      <c r="T588" s="492"/>
      <c r="U588" s="492"/>
      <c r="V588" s="492"/>
      <c r="W588" s="492"/>
      <c r="X588" s="453">
        <v>3221</v>
      </c>
      <c r="Y588" s="453">
        <v>1548</v>
      </c>
      <c r="Z588" s="453"/>
      <c r="AA588" s="453"/>
      <c r="AB588" s="453"/>
      <c r="AC588" s="452"/>
      <c r="AD588" s="452"/>
      <c r="AE588" s="452"/>
      <c r="AF588" s="452"/>
      <c r="AG588" s="452"/>
      <c r="AH588" s="452">
        <v>247</v>
      </c>
      <c r="AI588" s="452">
        <v>247</v>
      </c>
      <c r="AJ588" s="454"/>
      <c r="AK588" s="454">
        <f>IF(AN588-Y588&gt;0,AM588-Y588,0)</f>
        <v>0</v>
      </c>
      <c r="AL588" s="454">
        <f>IF(Y588-AN588&gt;0,Y588-AN588,0)</f>
        <v>0</v>
      </c>
      <c r="AM588" s="453">
        <v>1548</v>
      </c>
      <c r="AN588" s="453">
        <v>1548</v>
      </c>
      <c r="AO588" s="454"/>
      <c r="AP588" s="454"/>
      <c r="AQ588" s="452"/>
      <c r="AR588" s="452"/>
      <c r="AS588" s="497">
        <v>1548</v>
      </c>
      <c r="AT588" s="497">
        <v>1548</v>
      </c>
      <c r="AU588" s="151"/>
      <c r="AV588" s="151"/>
      <c r="AW588" s="147"/>
      <c r="AX588" s="119"/>
      <c r="AY588" s="604"/>
      <c r="BB588" s="14"/>
    </row>
    <row r="589" spans="1:54" ht="47.25" x14ac:dyDescent="0.25">
      <c r="A589" s="448">
        <v>3</v>
      </c>
      <c r="B589" s="449" t="s">
        <v>1620</v>
      </c>
      <c r="C589" s="450" t="s">
        <v>1618</v>
      </c>
      <c r="D589" s="450"/>
      <c r="E589" s="450" t="s">
        <v>65</v>
      </c>
      <c r="F589" s="450"/>
      <c r="G589" s="452"/>
      <c r="H589" s="452"/>
      <c r="I589" s="492"/>
      <c r="J589" s="492"/>
      <c r="K589" s="492"/>
      <c r="L589" s="492"/>
      <c r="M589" s="492"/>
      <c r="N589" s="492"/>
      <c r="O589" s="492"/>
      <c r="P589" s="492"/>
      <c r="Q589" s="492"/>
      <c r="R589" s="492"/>
      <c r="S589" s="492"/>
      <c r="T589" s="492"/>
      <c r="U589" s="492"/>
      <c r="V589" s="492"/>
      <c r="W589" s="492"/>
      <c r="X589" s="453">
        <v>770</v>
      </c>
      <c r="Y589" s="453">
        <v>739</v>
      </c>
      <c r="Z589" s="453"/>
      <c r="AA589" s="453"/>
      <c r="AB589" s="453"/>
      <c r="AC589" s="452"/>
      <c r="AD589" s="452"/>
      <c r="AE589" s="452"/>
      <c r="AF589" s="452"/>
      <c r="AG589" s="452"/>
      <c r="AH589" s="452"/>
      <c r="AI589" s="452"/>
      <c r="AJ589" s="454"/>
      <c r="AK589" s="454">
        <f>IF(AN589-Y589&gt;0,AM589-Y589,0)</f>
        <v>0</v>
      </c>
      <c r="AL589" s="454">
        <f>IF(Y589-AN589&gt;0,Y589-AN589,0)</f>
        <v>0</v>
      </c>
      <c r="AM589" s="453">
        <v>821</v>
      </c>
      <c r="AN589" s="453">
        <v>739</v>
      </c>
      <c r="AO589" s="454"/>
      <c r="AP589" s="454"/>
      <c r="AQ589" s="452"/>
      <c r="AR589" s="452"/>
      <c r="AS589" s="497">
        <v>821</v>
      </c>
      <c r="AT589" s="497">
        <v>739</v>
      </c>
      <c r="AU589" s="151"/>
      <c r="AV589" s="151"/>
      <c r="AW589" s="147"/>
      <c r="AX589" s="119"/>
      <c r="AY589" s="604"/>
      <c r="BB589" s="14"/>
    </row>
    <row r="590" spans="1:54" ht="42.75" customHeight="1" x14ac:dyDescent="0.25">
      <c r="A590" s="426" t="s">
        <v>768</v>
      </c>
      <c r="B590" s="427" t="s">
        <v>1621</v>
      </c>
      <c r="C590" s="464"/>
      <c r="D590" s="464"/>
      <c r="E590" s="464"/>
      <c r="F590" s="464"/>
      <c r="G590" s="465">
        <f>+G591</f>
        <v>1878</v>
      </c>
      <c r="H590" s="465">
        <f t="shared" ref="H590:AV590" si="81">+H591</f>
        <v>136</v>
      </c>
      <c r="I590" s="465">
        <f t="shared" si="81"/>
        <v>0</v>
      </c>
      <c r="J590" s="465">
        <f t="shared" si="81"/>
        <v>0</v>
      </c>
      <c r="K590" s="465">
        <f t="shared" si="81"/>
        <v>0</v>
      </c>
      <c r="L590" s="465">
        <f t="shared" si="81"/>
        <v>0</v>
      </c>
      <c r="M590" s="465">
        <f t="shared" si="81"/>
        <v>0</v>
      </c>
      <c r="N590" s="465">
        <f t="shared" si="81"/>
        <v>0</v>
      </c>
      <c r="O590" s="465">
        <f t="shared" si="81"/>
        <v>0</v>
      </c>
      <c r="P590" s="465">
        <f t="shared" si="81"/>
        <v>0</v>
      </c>
      <c r="Q590" s="465">
        <f t="shared" si="81"/>
        <v>0</v>
      </c>
      <c r="R590" s="465">
        <f t="shared" si="81"/>
        <v>0</v>
      </c>
      <c r="S590" s="465">
        <f t="shared" si="81"/>
        <v>0</v>
      </c>
      <c r="T590" s="465">
        <f t="shared" si="81"/>
        <v>0</v>
      </c>
      <c r="U590" s="465">
        <f t="shared" si="81"/>
        <v>0</v>
      </c>
      <c r="V590" s="465">
        <f t="shared" si="81"/>
        <v>0</v>
      </c>
      <c r="W590" s="465">
        <f t="shared" si="81"/>
        <v>0</v>
      </c>
      <c r="X590" s="465">
        <f t="shared" si="81"/>
        <v>5440</v>
      </c>
      <c r="Y590" s="465">
        <f t="shared" si="81"/>
        <v>3698</v>
      </c>
      <c r="Z590" s="465">
        <f t="shared" si="81"/>
        <v>0</v>
      </c>
      <c r="AA590" s="465">
        <f t="shared" si="81"/>
        <v>0</v>
      </c>
      <c r="AB590" s="465">
        <f t="shared" si="81"/>
        <v>0</v>
      </c>
      <c r="AC590" s="465">
        <f t="shared" si="81"/>
        <v>0</v>
      </c>
      <c r="AD590" s="465">
        <f t="shared" si="81"/>
        <v>1506</v>
      </c>
      <c r="AE590" s="465">
        <f t="shared" si="81"/>
        <v>136</v>
      </c>
      <c r="AF590" s="465">
        <f t="shared" si="81"/>
        <v>0</v>
      </c>
      <c r="AG590" s="465">
        <f t="shared" si="81"/>
        <v>0</v>
      </c>
      <c r="AH590" s="465">
        <f t="shared" si="81"/>
        <v>426</v>
      </c>
      <c r="AI590" s="465">
        <f t="shared" si="81"/>
        <v>426</v>
      </c>
      <c r="AJ590" s="465">
        <f t="shared" si="81"/>
        <v>0</v>
      </c>
      <c r="AK590" s="465">
        <f t="shared" si="81"/>
        <v>0</v>
      </c>
      <c r="AL590" s="465">
        <f t="shared" si="81"/>
        <v>0</v>
      </c>
      <c r="AM590" s="465">
        <f t="shared" si="81"/>
        <v>5440</v>
      </c>
      <c r="AN590" s="465">
        <f t="shared" si="81"/>
        <v>3698</v>
      </c>
      <c r="AO590" s="465">
        <f t="shared" si="81"/>
        <v>0</v>
      </c>
      <c r="AP590" s="465">
        <f t="shared" si="81"/>
        <v>0</v>
      </c>
      <c r="AQ590" s="465">
        <f t="shared" si="81"/>
        <v>2400</v>
      </c>
      <c r="AR590" s="465">
        <f t="shared" si="81"/>
        <v>2400</v>
      </c>
      <c r="AS590" s="465">
        <f t="shared" si="81"/>
        <v>6490</v>
      </c>
      <c r="AT590" s="465">
        <f t="shared" si="81"/>
        <v>3698</v>
      </c>
      <c r="AU590" s="465">
        <f t="shared" si="81"/>
        <v>0</v>
      </c>
      <c r="AV590" s="465">
        <f t="shared" si="81"/>
        <v>0</v>
      </c>
      <c r="AW590" s="147"/>
      <c r="AX590" s="119"/>
      <c r="AY590" s="604"/>
      <c r="BB590" s="14"/>
    </row>
    <row r="591" spans="1:54" ht="31.5" x14ac:dyDescent="0.25">
      <c r="A591" s="469"/>
      <c r="B591" s="470" t="s">
        <v>735</v>
      </c>
      <c r="C591" s="471"/>
      <c r="D591" s="471"/>
      <c r="E591" s="471"/>
      <c r="F591" s="471"/>
      <c r="G591" s="472">
        <f>+SUM(G592:G598)</f>
        <v>1878</v>
      </c>
      <c r="H591" s="472">
        <f t="shared" ref="H591:AL591" si="82">+SUM(H592:H598)</f>
        <v>136</v>
      </c>
      <c r="I591" s="472">
        <f t="shared" si="82"/>
        <v>0</v>
      </c>
      <c r="J591" s="472">
        <f t="shared" si="82"/>
        <v>0</v>
      </c>
      <c r="K591" s="472">
        <f t="shared" si="82"/>
        <v>0</v>
      </c>
      <c r="L591" s="472">
        <f t="shared" si="82"/>
        <v>0</v>
      </c>
      <c r="M591" s="472">
        <f t="shared" si="82"/>
        <v>0</v>
      </c>
      <c r="N591" s="472">
        <f t="shared" si="82"/>
        <v>0</v>
      </c>
      <c r="O591" s="472">
        <f t="shared" si="82"/>
        <v>0</v>
      </c>
      <c r="P591" s="472">
        <f t="shared" si="82"/>
        <v>0</v>
      </c>
      <c r="Q591" s="472">
        <f t="shared" si="82"/>
        <v>0</v>
      </c>
      <c r="R591" s="472">
        <f t="shared" si="82"/>
        <v>0</v>
      </c>
      <c r="S591" s="472">
        <f t="shared" si="82"/>
        <v>0</v>
      </c>
      <c r="T591" s="472">
        <f t="shared" si="82"/>
        <v>0</v>
      </c>
      <c r="U591" s="472">
        <f t="shared" si="82"/>
        <v>0</v>
      </c>
      <c r="V591" s="472">
        <f t="shared" si="82"/>
        <v>0</v>
      </c>
      <c r="W591" s="472">
        <f t="shared" si="82"/>
        <v>0</v>
      </c>
      <c r="X591" s="472">
        <f t="shared" si="82"/>
        <v>5440</v>
      </c>
      <c r="Y591" s="472">
        <f t="shared" si="82"/>
        <v>3698</v>
      </c>
      <c r="Z591" s="472">
        <f t="shared" si="82"/>
        <v>0</v>
      </c>
      <c r="AA591" s="472">
        <f t="shared" si="82"/>
        <v>0</v>
      </c>
      <c r="AB591" s="472">
        <f t="shared" si="82"/>
        <v>0</v>
      </c>
      <c r="AC591" s="472">
        <f t="shared" si="82"/>
        <v>0</v>
      </c>
      <c r="AD591" s="472">
        <f t="shared" si="82"/>
        <v>1506</v>
      </c>
      <c r="AE591" s="472">
        <f t="shared" si="82"/>
        <v>136</v>
      </c>
      <c r="AF591" s="472">
        <f t="shared" si="82"/>
        <v>0</v>
      </c>
      <c r="AG591" s="472">
        <f t="shared" si="82"/>
        <v>0</v>
      </c>
      <c r="AH591" s="472">
        <f t="shared" si="82"/>
        <v>426</v>
      </c>
      <c r="AI591" s="472">
        <f t="shared" si="82"/>
        <v>426</v>
      </c>
      <c r="AJ591" s="472">
        <f t="shared" si="82"/>
        <v>0</v>
      </c>
      <c r="AK591" s="472">
        <f t="shared" si="82"/>
        <v>0</v>
      </c>
      <c r="AL591" s="472">
        <f t="shared" si="82"/>
        <v>0</v>
      </c>
      <c r="AM591" s="472">
        <f>+SUM(AM592:AM600)</f>
        <v>5440</v>
      </c>
      <c r="AN591" s="472">
        <f t="shared" ref="AN591:AV591" si="83">+SUM(AN592:AN600)</f>
        <v>3698</v>
      </c>
      <c r="AO591" s="472">
        <f t="shared" si="83"/>
        <v>0</v>
      </c>
      <c r="AP591" s="472">
        <f t="shared" si="83"/>
        <v>0</v>
      </c>
      <c r="AQ591" s="472">
        <f t="shared" si="83"/>
        <v>2400</v>
      </c>
      <c r="AR591" s="472">
        <f t="shared" si="83"/>
        <v>2400</v>
      </c>
      <c r="AS591" s="472">
        <f t="shared" si="83"/>
        <v>6490</v>
      </c>
      <c r="AT591" s="472">
        <f t="shared" si="83"/>
        <v>3698</v>
      </c>
      <c r="AU591" s="472">
        <f t="shared" si="83"/>
        <v>0</v>
      </c>
      <c r="AV591" s="472">
        <f t="shared" si="83"/>
        <v>0</v>
      </c>
      <c r="AW591" s="147"/>
      <c r="AX591" s="119"/>
      <c r="AY591" s="604"/>
      <c r="BB591" s="14"/>
    </row>
    <row r="592" spans="1:54" ht="47.25" x14ac:dyDescent="0.25">
      <c r="A592" s="448" t="s">
        <v>688</v>
      </c>
      <c r="B592" s="449" t="s">
        <v>1622</v>
      </c>
      <c r="C592" s="450" t="s">
        <v>1623</v>
      </c>
      <c r="D592" s="450" t="s">
        <v>1624</v>
      </c>
      <c r="E592" s="450" t="s">
        <v>70</v>
      </c>
      <c r="F592" s="450" t="s">
        <v>1625</v>
      </c>
      <c r="G592" s="452">
        <v>1878</v>
      </c>
      <c r="H592" s="452">
        <v>136</v>
      </c>
      <c r="I592" s="492"/>
      <c r="J592" s="492"/>
      <c r="K592" s="492"/>
      <c r="L592" s="492"/>
      <c r="M592" s="492"/>
      <c r="N592" s="492"/>
      <c r="O592" s="492"/>
      <c r="P592" s="492"/>
      <c r="Q592" s="492"/>
      <c r="R592" s="492"/>
      <c r="S592" s="492"/>
      <c r="T592" s="492"/>
      <c r="U592" s="492"/>
      <c r="V592" s="492"/>
      <c r="W592" s="492"/>
      <c r="X592" s="453">
        <v>1878</v>
      </c>
      <c r="Y592" s="453">
        <v>136</v>
      </c>
      <c r="Z592" s="453"/>
      <c r="AA592" s="453"/>
      <c r="AB592" s="453"/>
      <c r="AC592" s="452"/>
      <c r="AD592" s="452">
        <v>1506</v>
      </c>
      <c r="AE592" s="452">
        <v>136</v>
      </c>
      <c r="AF592" s="452"/>
      <c r="AG592" s="452"/>
      <c r="AH592" s="452"/>
      <c r="AI592" s="452"/>
      <c r="AJ592" s="454"/>
      <c r="AK592" s="475">
        <f>IF(AN592-Y592&gt;0,AM592-Y592,0)</f>
        <v>0</v>
      </c>
      <c r="AL592" s="475">
        <f>IF(Y592-AN592&gt;0,Y592-AN592,0)</f>
        <v>0</v>
      </c>
      <c r="AM592" s="453">
        <v>1878</v>
      </c>
      <c r="AN592" s="453">
        <v>136</v>
      </c>
      <c r="AO592" s="454"/>
      <c r="AP592" s="454"/>
      <c r="AQ592" s="452"/>
      <c r="AR592" s="452"/>
      <c r="AS592" s="497">
        <v>1878</v>
      </c>
      <c r="AT592" s="497">
        <v>136</v>
      </c>
      <c r="AU592" s="151"/>
      <c r="AV592" s="151"/>
      <c r="AW592" s="147"/>
      <c r="AX592" s="119"/>
      <c r="AY592" s="604"/>
      <c r="BB592" s="14"/>
    </row>
    <row r="593" spans="1:54" ht="47.25" x14ac:dyDescent="0.25">
      <c r="A593" s="448" t="s">
        <v>693</v>
      </c>
      <c r="B593" s="449" t="s">
        <v>1626</v>
      </c>
      <c r="C593" s="450" t="s">
        <v>1627</v>
      </c>
      <c r="D593" s="450"/>
      <c r="E593" s="541" t="s">
        <v>57</v>
      </c>
      <c r="F593" s="450"/>
      <c r="G593" s="452"/>
      <c r="H593" s="452"/>
      <c r="I593" s="492"/>
      <c r="J593" s="492"/>
      <c r="K593" s="492"/>
      <c r="L593" s="492"/>
      <c r="M593" s="492"/>
      <c r="N593" s="492"/>
      <c r="O593" s="492"/>
      <c r="P593" s="492"/>
      <c r="Q593" s="492"/>
      <c r="R593" s="492"/>
      <c r="S593" s="492"/>
      <c r="T593" s="492"/>
      <c r="U593" s="492"/>
      <c r="V593" s="492"/>
      <c r="W593" s="492"/>
      <c r="X593" s="453">
        <v>426</v>
      </c>
      <c r="Y593" s="453">
        <v>426</v>
      </c>
      <c r="Z593" s="453"/>
      <c r="AA593" s="453"/>
      <c r="AB593" s="453"/>
      <c r="AC593" s="452"/>
      <c r="AD593" s="452"/>
      <c r="AE593" s="452"/>
      <c r="AF593" s="452"/>
      <c r="AG593" s="452"/>
      <c r="AH593" s="452">
        <v>426</v>
      </c>
      <c r="AI593" s="452">
        <v>426</v>
      </c>
      <c r="AJ593" s="454"/>
      <c r="AK593" s="475">
        <f t="shared" ref="AK593:AK598" si="84">IF(AN593-Y593&gt;0,AM593-Y593,0)</f>
        <v>0</v>
      </c>
      <c r="AL593" s="475">
        <f t="shared" ref="AL593:AL598" si="85">IF(Y593-AN593&gt;0,Y593-AN593,0)</f>
        <v>0</v>
      </c>
      <c r="AM593" s="453">
        <v>426</v>
      </c>
      <c r="AN593" s="453">
        <v>426</v>
      </c>
      <c r="AO593" s="454"/>
      <c r="AP593" s="454"/>
      <c r="AQ593" s="452"/>
      <c r="AR593" s="452"/>
      <c r="AS593" s="497">
        <v>426</v>
      </c>
      <c r="AT593" s="497">
        <v>426</v>
      </c>
      <c r="AU593" s="151"/>
      <c r="AV593" s="151"/>
      <c r="AW593" s="147"/>
      <c r="AX593" s="119"/>
      <c r="AY593" s="604"/>
      <c r="BB593" s="14"/>
    </row>
    <row r="594" spans="1:54" ht="47.25" x14ac:dyDescent="0.25">
      <c r="A594" s="448" t="s">
        <v>696</v>
      </c>
      <c r="B594" s="449" t="s">
        <v>1628</v>
      </c>
      <c r="C594" s="450" t="s">
        <v>1627</v>
      </c>
      <c r="D594" s="450"/>
      <c r="E594" s="541" t="s">
        <v>65</v>
      </c>
      <c r="F594" s="450"/>
      <c r="G594" s="452"/>
      <c r="H594" s="452"/>
      <c r="I594" s="492"/>
      <c r="J594" s="492"/>
      <c r="K594" s="492"/>
      <c r="L594" s="492"/>
      <c r="M594" s="492"/>
      <c r="N594" s="492"/>
      <c r="O594" s="492"/>
      <c r="P594" s="492"/>
      <c r="Q594" s="492"/>
      <c r="R594" s="492"/>
      <c r="S594" s="492"/>
      <c r="T594" s="492"/>
      <c r="U594" s="492"/>
      <c r="V594" s="492"/>
      <c r="W594" s="492"/>
      <c r="X594" s="453">
        <v>736</v>
      </c>
      <c r="Y594" s="453">
        <v>736</v>
      </c>
      <c r="Z594" s="453"/>
      <c r="AA594" s="453"/>
      <c r="AB594" s="453"/>
      <c r="AC594" s="452"/>
      <c r="AD594" s="452"/>
      <c r="AE594" s="452"/>
      <c r="AF594" s="452"/>
      <c r="AG594" s="452"/>
      <c r="AH594" s="452"/>
      <c r="AI594" s="452"/>
      <c r="AJ594" s="454"/>
      <c r="AK594" s="475">
        <f t="shared" si="84"/>
        <v>0</v>
      </c>
      <c r="AL594" s="475">
        <f t="shared" si="85"/>
        <v>0</v>
      </c>
      <c r="AM594" s="453">
        <v>736</v>
      </c>
      <c r="AN594" s="453">
        <v>736</v>
      </c>
      <c r="AO594" s="454"/>
      <c r="AP594" s="454"/>
      <c r="AQ594" s="452"/>
      <c r="AR594" s="452"/>
      <c r="AS594" s="497">
        <v>736</v>
      </c>
      <c r="AT594" s="497">
        <v>736</v>
      </c>
      <c r="AU594" s="151"/>
      <c r="AV594" s="151"/>
      <c r="AW594" s="147"/>
      <c r="AX594" s="119"/>
      <c r="AY594" s="604"/>
      <c r="BB594" s="14"/>
    </row>
    <row r="595" spans="1:54" ht="31.5" x14ac:dyDescent="0.25">
      <c r="A595" s="448" t="s">
        <v>700</v>
      </c>
      <c r="B595" s="449" t="s">
        <v>1629</v>
      </c>
      <c r="C595" s="450" t="s">
        <v>1627</v>
      </c>
      <c r="D595" s="450"/>
      <c r="E595" s="541" t="s">
        <v>65</v>
      </c>
      <c r="F595" s="450"/>
      <c r="G595" s="452"/>
      <c r="H595" s="452"/>
      <c r="I595" s="492"/>
      <c r="J595" s="492"/>
      <c r="K595" s="492"/>
      <c r="L595" s="492"/>
      <c r="M595" s="492"/>
      <c r="N595" s="492"/>
      <c r="O595" s="492"/>
      <c r="P595" s="492"/>
      <c r="Q595" s="492"/>
      <c r="R595" s="492"/>
      <c r="S595" s="492"/>
      <c r="T595" s="492"/>
      <c r="U595" s="492"/>
      <c r="V595" s="492"/>
      <c r="W595" s="492"/>
      <c r="X595" s="453">
        <v>400</v>
      </c>
      <c r="Y595" s="453">
        <v>400</v>
      </c>
      <c r="Z595" s="453"/>
      <c r="AA595" s="453"/>
      <c r="AB595" s="453"/>
      <c r="AC595" s="452"/>
      <c r="AD595" s="452"/>
      <c r="AE595" s="452"/>
      <c r="AF595" s="452"/>
      <c r="AG595" s="452"/>
      <c r="AH595" s="452"/>
      <c r="AI595" s="452"/>
      <c r="AJ595" s="454"/>
      <c r="AK595" s="475">
        <f t="shared" si="84"/>
        <v>0</v>
      </c>
      <c r="AL595" s="475">
        <f t="shared" si="85"/>
        <v>0</v>
      </c>
      <c r="AM595" s="453">
        <v>400</v>
      </c>
      <c r="AN595" s="453">
        <v>400</v>
      </c>
      <c r="AO595" s="454"/>
      <c r="AP595" s="454"/>
      <c r="AQ595" s="452"/>
      <c r="AR595" s="452">
        <v>400</v>
      </c>
      <c r="AS595" s="497">
        <v>0</v>
      </c>
      <c r="AT595" s="497">
        <v>0</v>
      </c>
      <c r="AU595" s="151"/>
      <c r="AV595" s="151"/>
      <c r="AW595" s="147"/>
      <c r="AX595" s="119"/>
      <c r="AY595" s="604"/>
      <c r="BB595" s="14"/>
    </row>
    <row r="596" spans="1:54" ht="31.5" x14ac:dyDescent="0.25">
      <c r="A596" s="448" t="s">
        <v>704</v>
      </c>
      <c r="B596" s="449" t="s">
        <v>1630</v>
      </c>
      <c r="C596" s="450" t="s">
        <v>1627</v>
      </c>
      <c r="D596" s="450"/>
      <c r="E596" s="541" t="s">
        <v>65</v>
      </c>
      <c r="F596" s="450"/>
      <c r="G596" s="452"/>
      <c r="H596" s="452"/>
      <c r="I596" s="492"/>
      <c r="J596" s="492"/>
      <c r="K596" s="492"/>
      <c r="L596" s="492"/>
      <c r="M596" s="492"/>
      <c r="N596" s="492"/>
      <c r="O596" s="492"/>
      <c r="P596" s="492"/>
      <c r="Q596" s="492"/>
      <c r="R596" s="492"/>
      <c r="S596" s="492"/>
      <c r="T596" s="492"/>
      <c r="U596" s="492"/>
      <c r="V596" s="492"/>
      <c r="W596" s="492"/>
      <c r="X596" s="453">
        <v>500</v>
      </c>
      <c r="Y596" s="453">
        <v>500</v>
      </c>
      <c r="Z596" s="453"/>
      <c r="AA596" s="453"/>
      <c r="AB596" s="453"/>
      <c r="AC596" s="452"/>
      <c r="AD596" s="452"/>
      <c r="AE596" s="452"/>
      <c r="AF596" s="452"/>
      <c r="AG596" s="452"/>
      <c r="AH596" s="452"/>
      <c r="AI596" s="452"/>
      <c r="AJ596" s="454"/>
      <c r="AK596" s="475">
        <f t="shared" si="84"/>
        <v>0</v>
      </c>
      <c r="AL596" s="475">
        <f t="shared" si="85"/>
        <v>0</v>
      </c>
      <c r="AM596" s="453">
        <v>500</v>
      </c>
      <c r="AN596" s="453">
        <v>500</v>
      </c>
      <c r="AO596" s="454"/>
      <c r="AP596" s="454"/>
      <c r="AQ596" s="452"/>
      <c r="AR596" s="452">
        <v>500</v>
      </c>
      <c r="AS596" s="497">
        <v>0</v>
      </c>
      <c r="AT596" s="497">
        <v>0</v>
      </c>
      <c r="AU596" s="151"/>
      <c r="AV596" s="151"/>
      <c r="AW596" s="147"/>
      <c r="AX596" s="119"/>
      <c r="AY596" s="604"/>
      <c r="BB596" s="14"/>
    </row>
    <row r="597" spans="1:54" ht="31.5" x14ac:dyDescent="0.25">
      <c r="A597" s="448" t="s">
        <v>709</v>
      </c>
      <c r="B597" s="449" t="s">
        <v>1631</v>
      </c>
      <c r="C597" s="450" t="s">
        <v>1627</v>
      </c>
      <c r="D597" s="450"/>
      <c r="E597" s="541" t="s">
        <v>65</v>
      </c>
      <c r="F597" s="450"/>
      <c r="G597" s="452"/>
      <c r="H597" s="452"/>
      <c r="I597" s="492"/>
      <c r="J597" s="492"/>
      <c r="K597" s="492"/>
      <c r="L597" s="492"/>
      <c r="M597" s="492"/>
      <c r="N597" s="492"/>
      <c r="O597" s="492"/>
      <c r="P597" s="492"/>
      <c r="Q597" s="492"/>
      <c r="R597" s="492"/>
      <c r="S597" s="492"/>
      <c r="T597" s="492"/>
      <c r="U597" s="492"/>
      <c r="V597" s="492"/>
      <c r="W597" s="492"/>
      <c r="X597" s="453">
        <v>500</v>
      </c>
      <c r="Y597" s="453">
        <v>500</v>
      </c>
      <c r="Z597" s="453"/>
      <c r="AA597" s="453"/>
      <c r="AB597" s="453"/>
      <c r="AC597" s="452"/>
      <c r="AD597" s="452"/>
      <c r="AE597" s="452"/>
      <c r="AF597" s="452"/>
      <c r="AG597" s="452"/>
      <c r="AH597" s="452"/>
      <c r="AI597" s="452"/>
      <c r="AJ597" s="454"/>
      <c r="AK597" s="475">
        <f t="shared" si="84"/>
        <v>0</v>
      </c>
      <c r="AL597" s="475">
        <f t="shared" si="85"/>
        <v>0</v>
      </c>
      <c r="AM597" s="453">
        <v>500</v>
      </c>
      <c r="AN597" s="453">
        <v>500</v>
      </c>
      <c r="AO597" s="454"/>
      <c r="AP597" s="454"/>
      <c r="AQ597" s="452"/>
      <c r="AR597" s="452">
        <v>500</v>
      </c>
      <c r="AS597" s="497">
        <v>0</v>
      </c>
      <c r="AT597" s="497">
        <v>0</v>
      </c>
      <c r="AU597" s="151"/>
      <c r="AV597" s="151"/>
      <c r="AW597" s="147"/>
      <c r="AX597" s="119"/>
      <c r="AY597" s="604"/>
      <c r="BB597" s="14"/>
    </row>
    <row r="598" spans="1:54" ht="31.5" x14ac:dyDescent="0.25">
      <c r="A598" s="448" t="s">
        <v>714</v>
      </c>
      <c r="B598" s="449" t="s">
        <v>1632</v>
      </c>
      <c r="C598" s="450" t="s">
        <v>1627</v>
      </c>
      <c r="D598" s="450"/>
      <c r="E598" s="541" t="s">
        <v>65</v>
      </c>
      <c r="F598" s="450"/>
      <c r="G598" s="452"/>
      <c r="H598" s="452"/>
      <c r="I598" s="492"/>
      <c r="J598" s="492"/>
      <c r="K598" s="492"/>
      <c r="L598" s="492"/>
      <c r="M598" s="492"/>
      <c r="N598" s="492"/>
      <c r="O598" s="492"/>
      <c r="P598" s="492"/>
      <c r="Q598" s="492"/>
      <c r="R598" s="492"/>
      <c r="S598" s="492"/>
      <c r="T598" s="492"/>
      <c r="U598" s="492"/>
      <c r="V598" s="492"/>
      <c r="W598" s="492"/>
      <c r="X598" s="453">
        <v>1000</v>
      </c>
      <c r="Y598" s="453">
        <v>1000</v>
      </c>
      <c r="Z598" s="453"/>
      <c r="AA598" s="453"/>
      <c r="AB598" s="453"/>
      <c r="AC598" s="452"/>
      <c r="AD598" s="452"/>
      <c r="AE598" s="452"/>
      <c r="AF598" s="452"/>
      <c r="AG598" s="452"/>
      <c r="AH598" s="452"/>
      <c r="AI598" s="452"/>
      <c r="AJ598" s="454"/>
      <c r="AK598" s="475">
        <f t="shared" si="84"/>
        <v>0</v>
      </c>
      <c r="AL598" s="475">
        <f t="shared" si="85"/>
        <v>0</v>
      </c>
      <c r="AM598" s="453">
        <v>1000</v>
      </c>
      <c r="AN598" s="453">
        <v>1000</v>
      </c>
      <c r="AO598" s="454"/>
      <c r="AP598" s="454"/>
      <c r="AQ598" s="452"/>
      <c r="AR598" s="452">
        <v>1000</v>
      </c>
      <c r="AS598" s="497">
        <v>0</v>
      </c>
      <c r="AT598" s="497">
        <v>0</v>
      </c>
      <c r="AU598" s="151"/>
      <c r="AV598" s="151"/>
      <c r="AW598" s="147"/>
      <c r="AX598" s="119"/>
      <c r="AY598" s="604"/>
      <c r="BB598" s="14"/>
    </row>
    <row r="599" spans="1:54" ht="33.75" customHeight="1" x14ac:dyDescent="0.25">
      <c r="A599" s="522" t="s">
        <v>913</v>
      </c>
      <c r="B599" s="539" t="s">
        <v>914</v>
      </c>
      <c r="C599" s="450"/>
      <c r="D599" s="450"/>
      <c r="E599" s="541"/>
      <c r="F599" s="450"/>
      <c r="G599" s="607"/>
      <c r="H599" s="607"/>
      <c r="I599" s="608"/>
      <c r="J599" s="608"/>
      <c r="K599" s="608"/>
      <c r="L599" s="608"/>
      <c r="M599" s="608"/>
      <c r="N599" s="608"/>
      <c r="O599" s="608"/>
      <c r="P599" s="608"/>
      <c r="Q599" s="608"/>
      <c r="R599" s="608"/>
      <c r="S599" s="608"/>
      <c r="T599" s="608"/>
      <c r="U599" s="608"/>
      <c r="V599" s="608"/>
      <c r="W599" s="608"/>
      <c r="X599" s="609"/>
      <c r="Y599" s="609"/>
      <c r="Z599" s="609"/>
      <c r="AA599" s="609"/>
      <c r="AB599" s="609"/>
      <c r="AC599" s="607"/>
      <c r="AD599" s="607"/>
      <c r="AE599" s="607"/>
      <c r="AF599" s="607"/>
      <c r="AG599" s="607"/>
      <c r="AH599" s="607"/>
      <c r="AI599" s="607"/>
      <c r="AJ599" s="610"/>
      <c r="AK599" s="610"/>
      <c r="AL599" s="610"/>
      <c r="AM599" s="610"/>
      <c r="AN599" s="610"/>
      <c r="AO599" s="610"/>
      <c r="AP599" s="610"/>
      <c r="AQ599" s="607"/>
      <c r="AR599" s="607"/>
      <c r="AS599" s="611"/>
      <c r="AT599" s="611"/>
      <c r="AU599" s="151"/>
      <c r="AV599" s="151"/>
      <c r="AW599" s="147"/>
      <c r="AX599" s="119"/>
      <c r="AY599" s="604"/>
      <c r="BB599" s="14"/>
    </row>
    <row r="600" spans="1:54" ht="47.25" x14ac:dyDescent="0.25">
      <c r="A600" s="524">
        <v>1</v>
      </c>
      <c r="B600" s="533" t="s">
        <v>1633</v>
      </c>
      <c r="C600" s="450"/>
      <c r="D600" s="450"/>
      <c r="E600" s="541"/>
      <c r="F600" s="450"/>
      <c r="G600" s="607"/>
      <c r="H600" s="607"/>
      <c r="I600" s="608"/>
      <c r="J600" s="608"/>
      <c r="K600" s="608"/>
      <c r="L600" s="608"/>
      <c r="M600" s="608"/>
      <c r="N600" s="608"/>
      <c r="O600" s="608"/>
      <c r="P600" s="608"/>
      <c r="Q600" s="608"/>
      <c r="R600" s="608"/>
      <c r="S600" s="608"/>
      <c r="T600" s="608"/>
      <c r="U600" s="608"/>
      <c r="V600" s="608"/>
      <c r="W600" s="608"/>
      <c r="X600" s="609"/>
      <c r="Y600" s="609"/>
      <c r="Z600" s="609"/>
      <c r="AA600" s="609"/>
      <c r="AB600" s="609"/>
      <c r="AC600" s="607"/>
      <c r="AD600" s="607"/>
      <c r="AE600" s="607"/>
      <c r="AF600" s="607"/>
      <c r="AG600" s="607"/>
      <c r="AH600" s="607"/>
      <c r="AI600" s="607"/>
      <c r="AJ600" s="610"/>
      <c r="AK600" s="610"/>
      <c r="AL600" s="610"/>
      <c r="AM600" s="610"/>
      <c r="AN600" s="610"/>
      <c r="AO600" s="610"/>
      <c r="AP600" s="610"/>
      <c r="AQ600" s="607">
        <v>2400</v>
      </c>
      <c r="AR600" s="607"/>
      <c r="AS600" s="611">
        <v>3450</v>
      </c>
      <c r="AT600" s="611">
        <v>2400</v>
      </c>
      <c r="AU600" s="151"/>
      <c r="AV600" s="151"/>
      <c r="AW600" s="147"/>
      <c r="AX600" s="119"/>
      <c r="AY600" s="604"/>
      <c r="BB600" s="14"/>
    </row>
    <row r="601" spans="1:54" ht="69" customHeight="1" x14ac:dyDescent="0.25">
      <c r="A601" s="612" t="s">
        <v>648</v>
      </c>
      <c r="B601" s="427" t="s">
        <v>1634</v>
      </c>
      <c r="C601" s="464"/>
      <c r="D601" s="464"/>
      <c r="E601" s="613"/>
      <c r="F601" s="464"/>
      <c r="G601" s="614"/>
      <c r="H601" s="614"/>
      <c r="I601" s="615"/>
      <c r="J601" s="615"/>
      <c r="K601" s="615"/>
      <c r="L601" s="615"/>
      <c r="M601" s="615"/>
      <c r="N601" s="615"/>
      <c r="O601" s="615"/>
      <c r="P601" s="615"/>
      <c r="Q601" s="615"/>
      <c r="R601" s="615"/>
      <c r="S601" s="615"/>
      <c r="T601" s="615"/>
      <c r="U601" s="615"/>
      <c r="V601" s="615"/>
      <c r="W601" s="615"/>
      <c r="X601" s="616"/>
      <c r="Y601" s="616"/>
      <c r="Z601" s="616"/>
      <c r="AA601" s="616"/>
      <c r="AB601" s="616"/>
      <c r="AC601" s="614"/>
      <c r="AD601" s="614"/>
      <c r="AE601" s="614"/>
      <c r="AF601" s="614"/>
      <c r="AG601" s="614"/>
      <c r="AH601" s="614"/>
      <c r="AI601" s="614"/>
      <c r="AJ601" s="617"/>
      <c r="AK601" s="617"/>
      <c r="AL601" s="617"/>
      <c r="AM601" s="618"/>
      <c r="AN601" s="618"/>
      <c r="AO601" s="617"/>
      <c r="AP601" s="617"/>
      <c r="AQ601" s="619">
        <f>AQ602+AQ629</f>
        <v>102910</v>
      </c>
      <c r="AR601" s="614"/>
      <c r="AS601" s="619">
        <f>AS602+AS629</f>
        <v>109498</v>
      </c>
      <c r="AT601" s="619">
        <f>AT602+AT629</f>
        <v>102910</v>
      </c>
      <c r="AU601" s="151"/>
      <c r="AV601" s="151"/>
      <c r="AW601" s="147"/>
      <c r="AX601" s="119"/>
      <c r="AY601" s="604"/>
      <c r="BB601" s="14"/>
    </row>
    <row r="602" spans="1:54" ht="63" x14ac:dyDescent="0.25">
      <c r="A602" s="620" t="s">
        <v>649</v>
      </c>
      <c r="B602" s="621" t="s">
        <v>1635</v>
      </c>
      <c r="C602" s="450"/>
      <c r="D602" s="450"/>
      <c r="E602" s="541"/>
      <c r="F602" s="450"/>
      <c r="G602" s="607"/>
      <c r="H602" s="607"/>
      <c r="I602" s="608"/>
      <c r="J602" s="608"/>
      <c r="K602" s="608"/>
      <c r="L602" s="608"/>
      <c r="M602" s="608"/>
      <c r="N602" s="608"/>
      <c r="O602" s="608"/>
      <c r="P602" s="608"/>
      <c r="Q602" s="608"/>
      <c r="R602" s="608"/>
      <c r="S602" s="608"/>
      <c r="T602" s="608"/>
      <c r="U602" s="608"/>
      <c r="V602" s="608"/>
      <c r="W602" s="608"/>
      <c r="X602" s="609"/>
      <c r="Y602" s="609"/>
      <c r="Z602" s="609"/>
      <c r="AA602" s="609"/>
      <c r="AB602" s="609"/>
      <c r="AC602" s="607"/>
      <c r="AD602" s="607"/>
      <c r="AE602" s="607"/>
      <c r="AF602" s="607"/>
      <c r="AG602" s="607"/>
      <c r="AH602" s="607"/>
      <c r="AI602" s="607"/>
      <c r="AJ602" s="610"/>
      <c r="AK602" s="610"/>
      <c r="AL602" s="610"/>
      <c r="AM602" s="618"/>
      <c r="AN602" s="618"/>
      <c r="AO602" s="610"/>
      <c r="AP602" s="610"/>
      <c r="AQ602" s="619">
        <f>AQ603+AQ616+AQ618+AQ624</f>
        <v>99975</v>
      </c>
      <c r="AR602" s="607"/>
      <c r="AS602" s="619">
        <f>AS603+AS616+AS618+AS624</f>
        <v>104978</v>
      </c>
      <c r="AT602" s="619">
        <f>AT603+AT616+AT618+AT624</f>
        <v>99975</v>
      </c>
      <c r="AU602" s="151"/>
      <c r="AV602" s="151"/>
      <c r="AW602" s="147"/>
      <c r="AX602" s="119"/>
      <c r="AY602" s="604"/>
      <c r="BB602" s="14"/>
    </row>
    <row r="603" spans="1:54" ht="39" customHeight="1" x14ac:dyDescent="0.25">
      <c r="A603" s="622" t="s">
        <v>100</v>
      </c>
      <c r="B603" s="621" t="s">
        <v>1059</v>
      </c>
      <c r="C603" s="464"/>
      <c r="D603" s="464"/>
      <c r="E603" s="613"/>
      <c r="F603" s="464"/>
      <c r="G603" s="614"/>
      <c r="H603" s="614"/>
      <c r="I603" s="615"/>
      <c r="J603" s="615"/>
      <c r="K603" s="615"/>
      <c r="L603" s="615"/>
      <c r="M603" s="615"/>
      <c r="N603" s="615"/>
      <c r="O603" s="615"/>
      <c r="P603" s="615"/>
      <c r="Q603" s="615"/>
      <c r="R603" s="615"/>
      <c r="S603" s="615"/>
      <c r="T603" s="615"/>
      <c r="U603" s="615"/>
      <c r="V603" s="615"/>
      <c r="W603" s="615"/>
      <c r="X603" s="616"/>
      <c r="Y603" s="616"/>
      <c r="Z603" s="616"/>
      <c r="AA603" s="616"/>
      <c r="AB603" s="616"/>
      <c r="AC603" s="614"/>
      <c r="AD603" s="614"/>
      <c r="AE603" s="614"/>
      <c r="AF603" s="614"/>
      <c r="AG603" s="614"/>
      <c r="AH603" s="614"/>
      <c r="AI603" s="614"/>
      <c r="AJ603" s="617"/>
      <c r="AK603" s="617"/>
      <c r="AL603" s="617"/>
      <c r="AM603" s="618"/>
      <c r="AN603" s="618"/>
      <c r="AO603" s="617"/>
      <c r="AP603" s="617"/>
      <c r="AQ603" s="623">
        <f t="shared" ref="AQ603" si="86">SUM(AQ604:AQ615)</f>
        <v>35104</v>
      </c>
      <c r="AR603" s="623">
        <f t="shared" ref="AR603:AV603" si="87">SUM(AR604:AR615)</f>
        <v>0</v>
      </c>
      <c r="AS603" s="623">
        <f t="shared" si="87"/>
        <v>38615</v>
      </c>
      <c r="AT603" s="623">
        <f t="shared" si="87"/>
        <v>35104</v>
      </c>
      <c r="AU603" s="624">
        <f t="shared" si="87"/>
        <v>0</v>
      </c>
      <c r="AV603" s="624">
        <f t="shared" si="87"/>
        <v>0</v>
      </c>
      <c r="AW603" s="147"/>
      <c r="AX603" s="119"/>
      <c r="AY603" s="604"/>
      <c r="BB603" s="14"/>
    </row>
    <row r="604" spans="1:54" ht="47.25" x14ac:dyDescent="0.25">
      <c r="A604" s="625">
        <v>1</v>
      </c>
      <c r="B604" s="626" t="s">
        <v>1636</v>
      </c>
      <c r="C604" s="450"/>
      <c r="D604" s="450"/>
      <c r="E604" s="541"/>
      <c r="F604" s="450"/>
      <c r="G604" s="607"/>
      <c r="H604" s="607"/>
      <c r="I604" s="608"/>
      <c r="J604" s="608"/>
      <c r="K604" s="608"/>
      <c r="L604" s="608"/>
      <c r="M604" s="608"/>
      <c r="N604" s="608"/>
      <c r="O604" s="608"/>
      <c r="P604" s="608"/>
      <c r="Q604" s="608"/>
      <c r="R604" s="608"/>
      <c r="S604" s="608"/>
      <c r="T604" s="608"/>
      <c r="U604" s="608"/>
      <c r="V604" s="608"/>
      <c r="W604" s="608"/>
      <c r="X604" s="609"/>
      <c r="Y604" s="609"/>
      <c r="Z604" s="609"/>
      <c r="AA604" s="609"/>
      <c r="AB604" s="609"/>
      <c r="AC604" s="607"/>
      <c r="AD604" s="607"/>
      <c r="AE604" s="607"/>
      <c r="AF604" s="607"/>
      <c r="AG604" s="607"/>
      <c r="AH604" s="607"/>
      <c r="AI604" s="607"/>
      <c r="AJ604" s="610"/>
      <c r="AK604" s="610"/>
      <c r="AL604" s="610"/>
      <c r="AM604" s="627"/>
      <c r="AN604" s="627"/>
      <c r="AO604" s="610"/>
      <c r="AP604" s="610"/>
      <c r="AQ604" s="628">
        <v>13116</v>
      </c>
      <c r="AR604" s="607"/>
      <c r="AS604" s="629">
        <v>14428</v>
      </c>
      <c r="AT604" s="629">
        <v>13116</v>
      </c>
      <c r="AU604" s="151"/>
      <c r="AV604" s="151"/>
      <c r="AW604" s="147"/>
      <c r="AX604" s="119"/>
      <c r="AY604" s="604"/>
      <c r="BB604" s="14"/>
    </row>
    <row r="605" spans="1:54" ht="31.5" x14ac:dyDescent="0.25">
      <c r="A605" s="625">
        <v>2</v>
      </c>
      <c r="B605" s="626" t="s">
        <v>1637</v>
      </c>
      <c r="C605" s="450"/>
      <c r="D605" s="450"/>
      <c r="E605" s="541"/>
      <c r="F605" s="450"/>
      <c r="G605" s="607"/>
      <c r="H605" s="607"/>
      <c r="I605" s="608"/>
      <c r="J605" s="608"/>
      <c r="K605" s="608"/>
      <c r="L605" s="608"/>
      <c r="M605" s="608"/>
      <c r="N605" s="608"/>
      <c r="O605" s="608"/>
      <c r="P605" s="608"/>
      <c r="Q605" s="608"/>
      <c r="R605" s="608"/>
      <c r="S605" s="608"/>
      <c r="T605" s="608"/>
      <c r="U605" s="608"/>
      <c r="V605" s="608"/>
      <c r="W605" s="608"/>
      <c r="X605" s="609"/>
      <c r="Y605" s="609"/>
      <c r="Z605" s="609"/>
      <c r="AA605" s="609"/>
      <c r="AB605" s="609"/>
      <c r="AC605" s="607"/>
      <c r="AD605" s="607"/>
      <c r="AE605" s="607"/>
      <c r="AF605" s="607"/>
      <c r="AG605" s="607"/>
      <c r="AH605" s="607"/>
      <c r="AI605" s="607"/>
      <c r="AJ605" s="610"/>
      <c r="AK605" s="610"/>
      <c r="AL605" s="610"/>
      <c r="AM605" s="627"/>
      <c r="AN605" s="627"/>
      <c r="AO605" s="610"/>
      <c r="AP605" s="610"/>
      <c r="AQ605" s="628">
        <v>5100</v>
      </c>
      <c r="AR605" s="607"/>
      <c r="AS605" s="629">
        <v>5610</v>
      </c>
      <c r="AT605" s="629">
        <v>5100</v>
      </c>
      <c r="AU605" s="151"/>
      <c r="AV605" s="151"/>
      <c r="AW605" s="147"/>
      <c r="AX605" s="119"/>
      <c r="AY605" s="604"/>
      <c r="BB605" s="14"/>
    </row>
    <row r="606" spans="1:54" ht="31.5" x14ac:dyDescent="0.25">
      <c r="A606" s="625">
        <v>3</v>
      </c>
      <c r="B606" s="626" t="s">
        <v>1638</v>
      </c>
      <c r="C606" s="450"/>
      <c r="D606" s="450"/>
      <c r="E606" s="541"/>
      <c r="F606" s="450"/>
      <c r="G606" s="607"/>
      <c r="H606" s="607"/>
      <c r="I606" s="608"/>
      <c r="J606" s="608"/>
      <c r="K606" s="608"/>
      <c r="L606" s="608"/>
      <c r="M606" s="608"/>
      <c r="N606" s="608"/>
      <c r="O606" s="608"/>
      <c r="P606" s="608"/>
      <c r="Q606" s="608"/>
      <c r="R606" s="608"/>
      <c r="S606" s="608"/>
      <c r="T606" s="608"/>
      <c r="U606" s="608"/>
      <c r="V606" s="608"/>
      <c r="W606" s="608"/>
      <c r="X606" s="609"/>
      <c r="Y606" s="609"/>
      <c r="Z606" s="609"/>
      <c r="AA606" s="609"/>
      <c r="AB606" s="609"/>
      <c r="AC606" s="607"/>
      <c r="AD606" s="607"/>
      <c r="AE606" s="607"/>
      <c r="AF606" s="607"/>
      <c r="AG606" s="607"/>
      <c r="AH606" s="607"/>
      <c r="AI606" s="607"/>
      <c r="AJ606" s="610"/>
      <c r="AK606" s="610"/>
      <c r="AL606" s="610"/>
      <c r="AM606" s="627"/>
      <c r="AN606" s="627"/>
      <c r="AO606" s="610"/>
      <c r="AP606" s="610"/>
      <c r="AQ606" s="628">
        <v>600</v>
      </c>
      <c r="AR606" s="607"/>
      <c r="AS606" s="629">
        <v>660</v>
      </c>
      <c r="AT606" s="629">
        <v>600</v>
      </c>
      <c r="AU606" s="151"/>
      <c r="AV606" s="151"/>
      <c r="AW606" s="147"/>
      <c r="AX606" s="119"/>
      <c r="AY606" s="604"/>
      <c r="BB606" s="14"/>
    </row>
    <row r="607" spans="1:54" ht="31.5" x14ac:dyDescent="0.25">
      <c r="A607" s="625">
        <v>4</v>
      </c>
      <c r="B607" s="626" t="s">
        <v>1639</v>
      </c>
      <c r="C607" s="450"/>
      <c r="D607" s="450"/>
      <c r="E607" s="541"/>
      <c r="F607" s="450"/>
      <c r="G607" s="607"/>
      <c r="H607" s="607"/>
      <c r="I607" s="608"/>
      <c r="J607" s="608"/>
      <c r="K607" s="608"/>
      <c r="L607" s="608"/>
      <c r="M607" s="608"/>
      <c r="N607" s="608"/>
      <c r="O607" s="608"/>
      <c r="P607" s="608"/>
      <c r="Q607" s="608"/>
      <c r="R607" s="608"/>
      <c r="S607" s="608"/>
      <c r="T607" s="608"/>
      <c r="U607" s="608"/>
      <c r="V607" s="608"/>
      <c r="W607" s="608"/>
      <c r="X607" s="609"/>
      <c r="Y607" s="609"/>
      <c r="Z607" s="609"/>
      <c r="AA607" s="609"/>
      <c r="AB607" s="609"/>
      <c r="AC607" s="607"/>
      <c r="AD607" s="607"/>
      <c r="AE607" s="607"/>
      <c r="AF607" s="607"/>
      <c r="AG607" s="607"/>
      <c r="AH607" s="607"/>
      <c r="AI607" s="607"/>
      <c r="AJ607" s="610"/>
      <c r="AK607" s="610"/>
      <c r="AL607" s="610"/>
      <c r="AM607" s="627"/>
      <c r="AN607" s="627"/>
      <c r="AO607" s="610"/>
      <c r="AP607" s="610"/>
      <c r="AQ607" s="628">
        <v>1440</v>
      </c>
      <c r="AR607" s="607"/>
      <c r="AS607" s="629">
        <v>1584</v>
      </c>
      <c r="AT607" s="629">
        <v>1440</v>
      </c>
      <c r="AU607" s="151"/>
      <c r="AV607" s="151"/>
      <c r="AW607" s="147"/>
      <c r="AX607" s="119"/>
      <c r="AY607" s="604"/>
      <c r="BB607" s="14"/>
    </row>
    <row r="608" spans="1:54" ht="31.5" x14ac:dyDescent="0.25">
      <c r="A608" s="625">
        <v>5</v>
      </c>
      <c r="B608" s="626" t="s">
        <v>1640</v>
      </c>
      <c r="C608" s="450"/>
      <c r="D608" s="450"/>
      <c r="E608" s="541"/>
      <c r="F608" s="450"/>
      <c r="G608" s="607"/>
      <c r="H608" s="607"/>
      <c r="I608" s="608"/>
      <c r="J608" s="608"/>
      <c r="K608" s="608"/>
      <c r="L608" s="608"/>
      <c r="M608" s="608"/>
      <c r="N608" s="608"/>
      <c r="O608" s="608"/>
      <c r="P608" s="608"/>
      <c r="Q608" s="608"/>
      <c r="R608" s="608"/>
      <c r="S608" s="608"/>
      <c r="T608" s="608"/>
      <c r="U608" s="608"/>
      <c r="V608" s="608"/>
      <c r="W608" s="608"/>
      <c r="X608" s="609"/>
      <c r="Y608" s="609"/>
      <c r="Z608" s="609"/>
      <c r="AA608" s="609"/>
      <c r="AB608" s="609"/>
      <c r="AC608" s="607"/>
      <c r="AD608" s="607"/>
      <c r="AE608" s="607"/>
      <c r="AF608" s="607"/>
      <c r="AG608" s="607"/>
      <c r="AH608" s="607"/>
      <c r="AI608" s="607"/>
      <c r="AJ608" s="610"/>
      <c r="AK608" s="610"/>
      <c r="AL608" s="610"/>
      <c r="AM608" s="627"/>
      <c r="AN608" s="627"/>
      <c r="AO608" s="610"/>
      <c r="AP608" s="610"/>
      <c r="AQ608" s="628">
        <v>2500</v>
      </c>
      <c r="AR608" s="607"/>
      <c r="AS608" s="629">
        <v>2750</v>
      </c>
      <c r="AT608" s="629">
        <v>2500</v>
      </c>
      <c r="AU608" s="151"/>
      <c r="AV608" s="151"/>
      <c r="AW608" s="147"/>
      <c r="AX608" s="119"/>
      <c r="AY608" s="604"/>
      <c r="BB608" s="14"/>
    </row>
    <row r="609" spans="1:54" ht="31.5" x14ac:dyDescent="0.25">
      <c r="A609" s="625">
        <v>6</v>
      </c>
      <c r="B609" s="626" t="s">
        <v>1641</v>
      </c>
      <c r="C609" s="450"/>
      <c r="D609" s="450"/>
      <c r="E609" s="541"/>
      <c r="F609" s="450"/>
      <c r="G609" s="607"/>
      <c r="H609" s="607"/>
      <c r="I609" s="608"/>
      <c r="J609" s="608"/>
      <c r="K609" s="608"/>
      <c r="L609" s="608"/>
      <c r="M609" s="608"/>
      <c r="N609" s="608"/>
      <c r="O609" s="608"/>
      <c r="P609" s="608"/>
      <c r="Q609" s="608"/>
      <c r="R609" s="608"/>
      <c r="S609" s="608"/>
      <c r="T609" s="608"/>
      <c r="U609" s="608"/>
      <c r="V609" s="608"/>
      <c r="W609" s="608"/>
      <c r="X609" s="609"/>
      <c r="Y609" s="609"/>
      <c r="Z609" s="609"/>
      <c r="AA609" s="609"/>
      <c r="AB609" s="609"/>
      <c r="AC609" s="607"/>
      <c r="AD609" s="607"/>
      <c r="AE609" s="607"/>
      <c r="AF609" s="607"/>
      <c r="AG609" s="607"/>
      <c r="AH609" s="607"/>
      <c r="AI609" s="607"/>
      <c r="AJ609" s="610"/>
      <c r="AK609" s="610"/>
      <c r="AL609" s="610"/>
      <c r="AM609" s="627"/>
      <c r="AN609" s="627"/>
      <c r="AO609" s="610"/>
      <c r="AP609" s="610"/>
      <c r="AQ609" s="628">
        <v>1300</v>
      </c>
      <c r="AR609" s="607"/>
      <c r="AS609" s="629">
        <v>1430</v>
      </c>
      <c r="AT609" s="629">
        <v>1300</v>
      </c>
      <c r="AU609" s="151"/>
      <c r="AV609" s="151"/>
      <c r="AW609" s="147"/>
      <c r="AX609" s="119"/>
      <c r="AY609" s="604"/>
      <c r="BB609" s="14"/>
    </row>
    <row r="610" spans="1:54" ht="31.5" x14ac:dyDescent="0.25">
      <c r="A610" s="625">
        <v>7</v>
      </c>
      <c r="B610" s="626" t="s">
        <v>1642</v>
      </c>
      <c r="C610" s="450"/>
      <c r="D610" s="450"/>
      <c r="E610" s="541"/>
      <c r="F610" s="450"/>
      <c r="G610" s="607"/>
      <c r="H610" s="607"/>
      <c r="I610" s="608"/>
      <c r="J610" s="608"/>
      <c r="K610" s="608"/>
      <c r="L610" s="608"/>
      <c r="M610" s="608"/>
      <c r="N610" s="608"/>
      <c r="O610" s="608"/>
      <c r="P610" s="608"/>
      <c r="Q610" s="608"/>
      <c r="R610" s="608"/>
      <c r="S610" s="608"/>
      <c r="T610" s="608"/>
      <c r="U610" s="608"/>
      <c r="V610" s="608"/>
      <c r="W610" s="608"/>
      <c r="X610" s="609"/>
      <c r="Y610" s="609"/>
      <c r="Z610" s="609"/>
      <c r="AA610" s="609"/>
      <c r="AB610" s="609"/>
      <c r="AC610" s="607"/>
      <c r="AD610" s="607"/>
      <c r="AE610" s="607"/>
      <c r="AF610" s="607"/>
      <c r="AG610" s="607"/>
      <c r="AH610" s="607"/>
      <c r="AI610" s="607"/>
      <c r="AJ610" s="610"/>
      <c r="AK610" s="610"/>
      <c r="AL610" s="610"/>
      <c r="AM610" s="627"/>
      <c r="AN610" s="627"/>
      <c r="AO610" s="610"/>
      <c r="AP610" s="610"/>
      <c r="AQ610" s="628">
        <v>800</v>
      </c>
      <c r="AR610" s="607"/>
      <c r="AS610" s="629">
        <v>880</v>
      </c>
      <c r="AT610" s="629">
        <v>800</v>
      </c>
      <c r="AU610" s="151"/>
      <c r="AV610" s="151"/>
      <c r="AW610" s="147"/>
      <c r="AX610" s="119"/>
      <c r="AY610" s="604"/>
      <c r="BB610" s="14"/>
    </row>
    <row r="611" spans="1:54" ht="31.5" x14ac:dyDescent="0.25">
      <c r="A611" s="625">
        <v>8</v>
      </c>
      <c r="B611" s="626" t="s">
        <v>1643</v>
      </c>
      <c r="C611" s="450"/>
      <c r="D611" s="450"/>
      <c r="E611" s="541"/>
      <c r="F611" s="450"/>
      <c r="G611" s="607"/>
      <c r="H611" s="607"/>
      <c r="I611" s="608"/>
      <c r="J611" s="608"/>
      <c r="K611" s="608"/>
      <c r="L611" s="608"/>
      <c r="M611" s="608"/>
      <c r="N611" s="608"/>
      <c r="O611" s="608"/>
      <c r="P611" s="608"/>
      <c r="Q611" s="608"/>
      <c r="R611" s="608"/>
      <c r="S611" s="608"/>
      <c r="T611" s="608"/>
      <c r="U611" s="608"/>
      <c r="V611" s="608"/>
      <c r="W611" s="608"/>
      <c r="X611" s="609"/>
      <c r="Y611" s="609"/>
      <c r="Z611" s="609"/>
      <c r="AA611" s="609"/>
      <c r="AB611" s="609"/>
      <c r="AC611" s="607"/>
      <c r="AD611" s="607"/>
      <c r="AE611" s="607"/>
      <c r="AF611" s="607"/>
      <c r="AG611" s="607"/>
      <c r="AH611" s="607"/>
      <c r="AI611" s="607"/>
      <c r="AJ611" s="610"/>
      <c r="AK611" s="610"/>
      <c r="AL611" s="610"/>
      <c r="AM611" s="627"/>
      <c r="AN611" s="627"/>
      <c r="AO611" s="610"/>
      <c r="AP611" s="610"/>
      <c r="AQ611" s="628">
        <v>1300</v>
      </c>
      <c r="AR611" s="607"/>
      <c r="AS611" s="629">
        <v>1430</v>
      </c>
      <c r="AT611" s="629">
        <v>1300</v>
      </c>
      <c r="AU611" s="151"/>
      <c r="AV611" s="151"/>
      <c r="AW611" s="147"/>
      <c r="AX611" s="119"/>
      <c r="AY611" s="604"/>
      <c r="BB611" s="14"/>
    </row>
    <row r="612" spans="1:54" ht="31.5" x14ac:dyDescent="0.25">
      <c r="A612" s="625">
        <v>9</v>
      </c>
      <c r="B612" s="626" t="s">
        <v>1644</v>
      </c>
      <c r="C612" s="450"/>
      <c r="D612" s="450"/>
      <c r="E612" s="541"/>
      <c r="F612" s="450"/>
      <c r="G612" s="607"/>
      <c r="H612" s="607"/>
      <c r="I612" s="608"/>
      <c r="J612" s="608"/>
      <c r="K612" s="608"/>
      <c r="L612" s="608"/>
      <c r="M612" s="608"/>
      <c r="N612" s="608"/>
      <c r="O612" s="608"/>
      <c r="P612" s="608"/>
      <c r="Q612" s="608"/>
      <c r="R612" s="608"/>
      <c r="S612" s="608"/>
      <c r="T612" s="608"/>
      <c r="U612" s="608"/>
      <c r="V612" s="608"/>
      <c r="W612" s="608"/>
      <c r="X612" s="609"/>
      <c r="Y612" s="609"/>
      <c r="Z612" s="609"/>
      <c r="AA612" s="609"/>
      <c r="AB612" s="609"/>
      <c r="AC612" s="607"/>
      <c r="AD612" s="607"/>
      <c r="AE612" s="607"/>
      <c r="AF612" s="607"/>
      <c r="AG612" s="607"/>
      <c r="AH612" s="607"/>
      <c r="AI612" s="607"/>
      <c r="AJ612" s="610"/>
      <c r="AK612" s="610"/>
      <c r="AL612" s="610"/>
      <c r="AM612" s="627"/>
      <c r="AN612" s="627"/>
      <c r="AO612" s="610"/>
      <c r="AP612" s="610"/>
      <c r="AQ612" s="628">
        <v>800</v>
      </c>
      <c r="AR612" s="607"/>
      <c r="AS612" s="629">
        <v>880</v>
      </c>
      <c r="AT612" s="629">
        <v>800</v>
      </c>
      <c r="AU612" s="151"/>
      <c r="AV612" s="151"/>
      <c r="AW612" s="147"/>
      <c r="AX612" s="119"/>
      <c r="AY612" s="604"/>
      <c r="BB612" s="14"/>
    </row>
    <row r="613" spans="1:54" ht="31.5" x14ac:dyDescent="0.25">
      <c r="A613" s="625">
        <v>10</v>
      </c>
      <c r="B613" s="626" t="s">
        <v>1645</v>
      </c>
      <c r="C613" s="450"/>
      <c r="D613" s="450"/>
      <c r="E613" s="541"/>
      <c r="F613" s="450"/>
      <c r="G613" s="607"/>
      <c r="H613" s="607"/>
      <c r="I613" s="608"/>
      <c r="J613" s="608"/>
      <c r="K613" s="608"/>
      <c r="L613" s="608"/>
      <c r="M613" s="608"/>
      <c r="N613" s="608"/>
      <c r="O613" s="608"/>
      <c r="P613" s="608"/>
      <c r="Q613" s="608"/>
      <c r="R613" s="608"/>
      <c r="S613" s="608"/>
      <c r="T613" s="608"/>
      <c r="U613" s="608"/>
      <c r="V613" s="608"/>
      <c r="W613" s="608"/>
      <c r="X613" s="609"/>
      <c r="Y613" s="609"/>
      <c r="Z613" s="609"/>
      <c r="AA613" s="609"/>
      <c r="AB613" s="609"/>
      <c r="AC613" s="607"/>
      <c r="AD613" s="607"/>
      <c r="AE613" s="607"/>
      <c r="AF613" s="607"/>
      <c r="AG613" s="607"/>
      <c r="AH613" s="607"/>
      <c r="AI613" s="607"/>
      <c r="AJ613" s="610"/>
      <c r="AK613" s="610"/>
      <c r="AL613" s="610"/>
      <c r="AM613" s="627"/>
      <c r="AN613" s="627"/>
      <c r="AO613" s="610"/>
      <c r="AP613" s="610"/>
      <c r="AQ613" s="628">
        <v>3660</v>
      </c>
      <c r="AR613" s="607"/>
      <c r="AS613" s="629">
        <v>4026</v>
      </c>
      <c r="AT613" s="629">
        <v>3660</v>
      </c>
      <c r="AU613" s="151"/>
      <c r="AV613" s="151"/>
      <c r="AW613" s="147"/>
      <c r="AX613" s="119"/>
      <c r="AY613" s="604"/>
      <c r="BB613" s="14"/>
    </row>
    <row r="614" spans="1:54" ht="31.5" x14ac:dyDescent="0.25">
      <c r="A614" s="625">
        <v>11</v>
      </c>
      <c r="B614" s="626" t="s">
        <v>1646</v>
      </c>
      <c r="C614" s="450"/>
      <c r="D614" s="450"/>
      <c r="E614" s="541"/>
      <c r="F614" s="450"/>
      <c r="G614" s="607"/>
      <c r="H614" s="607"/>
      <c r="I614" s="608"/>
      <c r="J614" s="608"/>
      <c r="K614" s="608"/>
      <c r="L614" s="608"/>
      <c r="M614" s="608"/>
      <c r="N614" s="608"/>
      <c r="O614" s="608"/>
      <c r="P614" s="608"/>
      <c r="Q614" s="608"/>
      <c r="R614" s="608"/>
      <c r="S614" s="608"/>
      <c r="T614" s="608"/>
      <c r="U614" s="608"/>
      <c r="V614" s="608"/>
      <c r="W614" s="608"/>
      <c r="X614" s="609"/>
      <c r="Y614" s="609"/>
      <c r="Z614" s="609"/>
      <c r="AA614" s="609"/>
      <c r="AB614" s="609"/>
      <c r="AC614" s="607"/>
      <c r="AD614" s="607"/>
      <c r="AE614" s="607"/>
      <c r="AF614" s="607"/>
      <c r="AG614" s="607"/>
      <c r="AH614" s="607"/>
      <c r="AI614" s="607"/>
      <c r="AJ614" s="610"/>
      <c r="AK614" s="610"/>
      <c r="AL614" s="610"/>
      <c r="AM614" s="627"/>
      <c r="AN614" s="627"/>
      <c r="AO614" s="610"/>
      <c r="AP614" s="610"/>
      <c r="AQ614" s="628">
        <v>2988</v>
      </c>
      <c r="AR614" s="607"/>
      <c r="AS614" s="629">
        <v>3287</v>
      </c>
      <c r="AT614" s="629">
        <v>2988</v>
      </c>
      <c r="AU614" s="151"/>
      <c r="AV614" s="151"/>
      <c r="AW614" s="147"/>
      <c r="AX614" s="119"/>
      <c r="AY614" s="604"/>
      <c r="BB614" s="14"/>
    </row>
    <row r="615" spans="1:54" ht="31.5" x14ac:dyDescent="0.25">
      <c r="A615" s="625">
        <v>12</v>
      </c>
      <c r="B615" s="626" t="s">
        <v>1647</v>
      </c>
      <c r="C615" s="450"/>
      <c r="D615" s="450"/>
      <c r="E615" s="541"/>
      <c r="F615" s="450"/>
      <c r="G615" s="607"/>
      <c r="H615" s="607"/>
      <c r="I615" s="608"/>
      <c r="J615" s="608"/>
      <c r="K615" s="608"/>
      <c r="L615" s="608"/>
      <c r="M615" s="608"/>
      <c r="N615" s="608"/>
      <c r="O615" s="608"/>
      <c r="P615" s="608"/>
      <c r="Q615" s="608"/>
      <c r="R615" s="608"/>
      <c r="S615" s="608"/>
      <c r="T615" s="608"/>
      <c r="U615" s="608"/>
      <c r="V615" s="608"/>
      <c r="W615" s="608"/>
      <c r="X615" s="609"/>
      <c r="Y615" s="609"/>
      <c r="Z615" s="609"/>
      <c r="AA615" s="609"/>
      <c r="AB615" s="609"/>
      <c r="AC615" s="607"/>
      <c r="AD615" s="607"/>
      <c r="AE615" s="607"/>
      <c r="AF615" s="607"/>
      <c r="AG615" s="607"/>
      <c r="AH615" s="607"/>
      <c r="AI615" s="607"/>
      <c r="AJ615" s="610"/>
      <c r="AK615" s="610"/>
      <c r="AL615" s="610"/>
      <c r="AM615" s="627"/>
      <c r="AN615" s="627"/>
      <c r="AO615" s="610"/>
      <c r="AP615" s="610"/>
      <c r="AQ615" s="628">
        <v>1500</v>
      </c>
      <c r="AR615" s="607"/>
      <c r="AS615" s="629">
        <v>1650</v>
      </c>
      <c r="AT615" s="629">
        <v>1500</v>
      </c>
      <c r="AU615" s="151"/>
      <c r="AV615" s="151"/>
      <c r="AW615" s="147"/>
      <c r="AX615" s="119"/>
      <c r="AY615" s="604"/>
      <c r="BB615" s="14"/>
    </row>
    <row r="616" spans="1:54" ht="36" customHeight="1" x14ac:dyDescent="0.25">
      <c r="A616" s="622" t="s">
        <v>102</v>
      </c>
      <c r="B616" s="621" t="s">
        <v>86</v>
      </c>
      <c r="C616" s="464"/>
      <c r="D616" s="464"/>
      <c r="E616" s="613"/>
      <c r="F616" s="464"/>
      <c r="G616" s="614"/>
      <c r="H616" s="614"/>
      <c r="I616" s="615"/>
      <c r="J616" s="615"/>
      <c r="K616" s="615"/>
      <c r="L616" s="615"/>
      <c r="M616" s="615"/>
      <c r="N616" s="615"/>
      <c r="O616" s="615"/>
      <c r="P616" s="615"/>
      <c r="Q616" s="615"/>
      <c r="R616" s="615"/>
      <c r="S616" s="615"/>
      <c r="T616" s="615"/>
      <c r="U616" s="615"/>
      <c r="V616" s="615"/>
      <c r="W616" s="615"/>
      <c r="X616" s="616"/>
      <c r="Y616" s="616"/>
      <c r="Z616" s="616"/>
      <c r="AA616" s="616"/>
      <c r="AB616" s="616"/>
      <c r="AC616" s="614"/>
      <c r="AD616" s="614"/>
      <c r="AE616" s="614"/>
      <c r="AF616" s="614"/>
      <c r="AG616" s="614"/>
      <c r="AH616" s="614"/>
      <c r="AI616" s="614"/>
      <c r="AJ616" s="617"/>
      <c r="AK616" s="617"/>
      <c r="AL616" s="617"/>
      <c r="AM616" s="618"/>
      <c r="AN616" s="618"/>
      <c r="AO616" s="617"/>
      <c r="AP616" s="617"/>
      <c r="AQ616" s="619">
        <f t="shared" ref="AQ616:AV616" si="88">SUM(AQ617)</f>
        <v>12229</v>
      </c>
      <c r="AR616" s="619">
        <f t="shared" si="88"/>
        <v>0</v>
      </c>
      <c r="AS616" s="619">
        <f t="shared" si="88"/>
        <v>13213</v>
      </c>
      <c r="AT616" s="619">
        <f t="shared" si="88"/>
        <v>12229</v>
      </c>
      <c r="AU616" s="618">
        <f t="shared" si="88"/>
        <v>0</v>
      </c>
      <c r="AV616" s="618">
        <f t="shared" si="88"/>
        <v>0</v>
      </c>
      <c r="AW616" s="147"/>
      <c r="AX616" s="119"/>
      <c r="AY616" s="604"/>
      <c r="BB616" s="14"/>
    </row>
    <row r="617" spans="1:54" ht="31.5" x14ac:dyDescent="0.25">
      <c r="A617" s="524">
        <v>1</v>
      </c>
      <c r="B617" s="626" t="s">
        <v>1648</v>
      </c>
      <c r="C617" s="450"/>
      <c r="D617" s="450"/>
      <c r="E617" s="541"/>
      <c r="F617" s="450"/>
      <c r="G617" s="607"/>
      <c r="H617" s="607"/>
      <c r="I617" s="608"/>
      <c r="J617" s="608"/>
      <c r="K617" s="608"/>
      <c r="L617" s="608"/>
      <c r="M617" s="608"/>
      <c r="N617" s="608"/>
      <c r="O617" s="608"/>
      <c r="P617" s="608"/>
      <c r="Q617" s="608"/>
      <c r="R617" s="608"/>
      <c r="S617" s="608"/>
      <c r="T617" s="608"/>
      <c r="U617" s="608"/>
      <c r="V617" s="608"/>
      <c r="W617" s="608"/>
      <c r="X617" s="609"/>
      <c r="Y617" s="609"/>
      <c r="Z617" s="609"/>
      <c r="AA617" s="609"/>
      <c r="AB617" s="609"/>
      <c r="AC617" s="607"/>
      <c r="AD617" s="607"/>
      <c r="AE617" s="607"/>
      <c r="AF617" s="607"/>
      <c r="AG617" s="607"/>
      <c r="AH617" s="607"/>
      <c r="AI617" s="607"/>
      <c r="AJ617" s="610"/>
      <c r="AK617" s="610"/>
      <c r="AL617" s="610"/>
      <c r="AM617" s="627"/>
      <c r="AN617" s="627"/>
      <c r="AO617" s="610"/>
      <c r="AP617" s="610"/>
      <c r="AQ617" s="629">
        <v>12229</v>
      </c>
      <c r="AR617" s="607"/>
      <c r="AS617" s="629">
        <v>13213</v>
      </c>
      <c r="AT617" s="629">
        <v>12229</v>
      </c>
      <c r="AU617" s="151"/>
      <c r="AV617" s="151"/>
      <c r="AW617" s="147"/>
      <c r="AX617" s="119"/>
      <c r="AY617" s="604"/>
      <c r="BB617" s="14"/>
    </row>
    <row r="618" spans="1:54" ht="42.75" customHeight="1" x14ac:dyDescent="0.25">
      <c r="A618" s="622" t="s">
        <v>1649</v>
      </c>
      <c r="B618" s="621" t="s">
        <v>88</v>
      </c>
      <c r="C618" s="464"/>
      <c r="D618" s="464"/>
      <c r="E618" s="613"/>
      <c r="F618" s="464"/>
      <c r="G618" s="614"/>
      <c r="H618" s="614"/>
      <c r="I618" s="615"/>
      <c r="J618" s="615"/>
      <c r="K618" s="615"/>
      <c r="L618" s="615"/>
      <c r="M618" s="615"/>
      <c r="N618" s="615"/>
      <c r="O618" s="615"/>
      <c r="P618" s="615"/>
      <c r="Q618" s="615"/>
      <c r="R618" s="615"/>
      <c r="S618" s="615"/>
      <c r="T618" s="615"/>
      <c r="U618" s="615"/>
      <c r="V618" s="615"/>
      <c r="W618" s="615"/>
      <c r="X618" s="616"/>
      <c r="Y618" s="616"/>
      <c r="Z618" s="616"/>
      <c r="AA618" s="616"/>
      <c r="AB618" s="616"/>
      <c r="AC618" s="614"/>
      <c r="AD618" s="614"/>
      <c r="AE618" s="614"/>
      <c r="AF618" s="614"/>
      <c r="AG618" s="614"/>
      <c r="AH618" s="614"/>
      <c r="AI618" s="614"/>
      <c r="AJ618" s="617"/>
      <c r="AK618" s="617"/>
      <c r="AL618" s="617"/>
      <c r="AM618" s="618"/>
      <c r="AN618" s="618"/>
      <c r="AO618" s="617"/>
      <c r="AP618" s="617"/>
      <c r="AQ618" s="619">
        <f>SUM(AQ619:AQ623)</f>
        <v>21940</v>
      </c>
      <c r="AR618" s="619">
        <f t="shared" ref="AR618:AV618" si="89">SUM(AR619:AR623)</f>
        <v>0</v>
      </c>
      <c r="AS618" s="619">
        <f t="shared" si="89"/>
        <v>22160</v>
      </c>
      <c r="AT618" s="619">
        <f t="shared" si="89"/>
        <v>21940</v>
      </c>
      <c r="AU618" s="618">
        <f t="shared" si="89"/>
        <v>0</v>
      </c>
      <c r="AV618" s="618">
        <f t="shared" si="89"/>
        <v>0</v>
      </c>
      <c r="AW618" s="147"/>
      <c r="AX618" s="119"/>
      <c r="AY618" s="604"/>
      <c r="BB618" s="14"/>
    </row>
    <row r="619" spans="1:54" ht="47.25" x14ac:dyDescent="0.25">
      <c r="A619" s="524">
        <v>1</v>
      </c>
      <c r="B619" s="626" t="s">
        <v>1650</v>
      </c>
      <c r="C619" s="450"/>
      <c r="D619" s="450"/>
      <c r="E619" s="541"/>
      <c r="F619" s="450"/>
      <c r="G619" s="607"/>
      <c r="H619" s="607"/>
      <c r="I619" s="608"/>
      <c r="J619" s="608"/>
      <c r="K619" s="608"/>
      <c r="L619" s="608"/>
      <c r="M619" s="608"/>
      <c r="N619" s="608"/>
      <c r="O619" s="608"/>
      <c r="P619" s="608"/>
      <c r="Q619" s="608"/>
      <c r="R619" s="608"/>
      <c r="S619" s="608"/>
      <c r="T619" s="608"/>
      <c r="U619" s="608"/>
      <c r="V619" s="608"/>
      <c r="W619" s="608"/>
      <c r="X619" s="609"/>
      <c r="Y619" s="609"/>
      <c r="Z619" s="609"/>
      <c r="AA619" s="609"/>
      <c r="AB619" s="609"/>
      <c r="AC619" s="607"/>
      <c r="AD619" s="607"/>
      <c r="AE619" s="607"/>
      <c r="AF619" s="607"/>
      <c r="AG619" s="607"/>
      <c r="AH619" s="607"/>
      <c r="AI619" s="607"/>
      <c r="AJ619" s="610"/>
      <c r="AK619" s="610"/>
      <c r="AL619" s="610"/>
      <c r="AM619" s="627"/>
      <c r="AN619" s="627"/>
      <c r="AO619" s="610"/>
      <c r="AP619" s="610"/>
      <c r="AQ619" s="629">
        <v>7500</v>
      </c>
      <c r="AR619" s="607"/>
      <c r="AS619" s="629">
        <v>7575</v>
      </c>
      <c r="AT619" s="629">
        <v>7500</v>
      </c>
      <c r="AU619" s="151"/>
      <c r="AV619" s="151"/>
      <c r="AW619" s="147"/>
      <c r="AX619" s="119"/>
      <c r="AY619" s="604"/>
      <c r="BB619" s="14"/>
    </row>
    <row r="620" spans="1:54" ht="31.5" x14ac:dyDescent="0.25">
      <c r="A620" s="524">
        <v>2</v>
      </c>
      <c r="B620" s="626" t="s">
        <v>1651</v>
      </c>
      <c r="C620" s="450"/>
      <c r="D620" s="450"/>
      <c r="E620" s="541"/>
      <c r="F620" s="450"/>
      <c r="G620" s="607"/>
      <c r="H620" s="607"/>
      <c r="I620" s="608"/>
      <c r="J620" s="608"/>
      <c r="K620" s="608"/>
      <c r="L620" s="608"/>
      <c r="M620" s="608"/>
      <c r="N620" s="608"/>
      <c r="O620" s="608"/>
      <c r="P620" s="608"/>
      <c r="Q620" s="608"/>
      <c r="R620" s="608"/>
      <c r="S620" s="608"/>
      <c r="T620" s="608"/>
      <c r="U620" s="608"/>
      <c r="V620" s="608"/>
      <c r="W620" s="608"/>
      <c r="X620" s="609"/>
      <c r="Y620" s="609"/>
      <c r="Z620" s="609"/>
      <c r="AA620" s="609"/>
      <c r="AB620" s="609"/>
      <c r="AC620" s="607"/>
      <c r="AD620" s="607"/>
      <c r="AE620" s="607"/>
      <c r="AF620" s="607"/>
      <c r="AG620" s="607"/>
      <c r="AH620" s="607"/>
      <c r="AI620" s="607"/>
      <c r="AJ620" s="610"/>
      <c r="AK620" s="610"/>
      <c r="AL620" s="610"/>
      <c r="AM620" s="627"/>
      <c r="AN620" s="627"/>
      <c r="AO620" s="610"/>
      <c r="AP620" s="610"/>
      <c r="AQ620" s="629">
        <v>2000</v>
      </c>
      <c r="AR620" s="607"/>
      <c r="AS620" s="629">
        <v>2020</v>
      </c>
      <c r="AT620" s="629">
        <v>2000</v>
      </c>
      <c r="AU620" s="151"/>
      <c r="AV620" s="151"/>
      <c r="AW620" s="147"/>
      <c r="AX620" s="119"/>
      <c r="AY620" s="604"/>
      <c r="BB620" s="14"/>
    </row>
    <row r="621" spans="1:54" ht="31.5" x14ac:dyDescent="0.25">
      <c r="A621" s="524">
        <v>3</v>
      </c>
      <c r="B621" s="626" t="s">
        <v>1652</v>
      </c>
      <c r="C621" s="450"/>
      <c r="D621" s="450"/>
      <c r="E621" s="541"/>
      <c r="F621" s="450"/>
      <c r="G621" s="607"/>
      <c r="H621" s="607"/>
      <c r="I621" s="608"/>
      <c r="J621" s="608"/>
      <c r="K621" s="608"/>
      <c r="L621" s="608"/>
      <c r="M621" s="608"/>
      <c r="N621" s="608"/>
      <c r="O621" s="608"/>
      <c r="P621" s="608"/>
      <c r="Q621" s="608"/>
      <c r="R621" s="608"/>
      <c r="S621" s="608"/>
      <c r="T621" s="608"/>
      <c r="U621" s="608"/>
      <c r="V621" s="608"/>
      <c r="W621" s="608"/>
      <c r="X621" s="609"/>
      <c r="Y621" s="609"/>
      <c r="Z621" s="609"/>
      <c r="AA621" s="609"/>
      <c r="AB621" s="609"/>
      <c r="AC621" s="607"/>
      <c r="AD621" s="607"/>
      <c r="AE621" s="607"/>
      <c r="AF621" s="607"/>
      <c r="AG621" s="607"/>
      <c r="AH621" s="607"/>
      <c r="AI621" s="607"/>
      <c r="AJ621" s="610"/>
      <c r="AK621" s="610"/>
      <c r="AL621" s="610"/>
      <c r="AM621" s="627"/>
      <c r="AN621" s="627"/>
      <c r="AO621" s="610"/>
      <c r="AP621" s="610"/>
      <c r="AQ621" s="629">
        <v>9000</v>
      </c>
      <c r="AR621" s="607"/>
      <c r="AS621" s="629">
        <v>9090</v>
      </c>
      <c r="AT621" s="629">
        <v>9000</v>
      </c>
      <c r="AU621" s="151"/>
      <c r="AV621" s="151"/>
      <c r="AW621" s="147"/>
      <c r="AX621" s="119"/>
      <c r="AY621" s="604"/>
      <c r="BB621" s="14"/>
    </row>
    <row r="622" spans="1:54" ht="31.5" x14ac:dyDescent="0.25">
      <c r="A622" s="524">
        <v>4</v>
      </c>
      <c r="B622" s="630" t="s">
        <v>1653</v>
      </c>
      <c r="C622" s="450"/>
      <c r="D622" s="450"/>
      <c r="E622" s="541"/>
      <c r="F622" s="450"/>
      <c r="G622" s="607"/>
      <c r="H622" s="607"/>
      <c r="I622" s="608"/>
      <c r="J622" s="608"/>
      <c r="K622" s="608"/>
      <c r="L622" s="608"/>
      <c r="M622" s="608"/>
      <c r="N622" s="608"/>
      <c r="O622" s="608"/>
      <c r="P622" s="608"/>
      <c r="Q622" s="608"/>
      <c r="R622" s="608"/>
      <c r="S622" s="608"/>
      <c r="T622" s="608"/>
      <c r="U622" s="608"/>
      <c r="V622" s="608"/>
      <c r="W622" s="608"/>
      <c r="X622" s="609"/>
      <c r="Y622" s="609"/>
      <c r="Z622" s="609"/>
      <c r="AA622" s="609"/>
      <c r="AB622" s="609"/>
      <c r="AC622" s="607"/>
      <c r="AD622" s="607"/>
      <c r="AE622" s="607"/>
      <c r="AF622" s="607"/>
      <c r="AG622" s="607"/>
      <c r="AH622" s="607"/>
      <c r="AI622" s="607"/>
      <c r="AJ622" s="610"/>
      <c r="AK622" s="610"/>
      <c r="AL622" s="610"/>
      <c r="AM622" s="627"/>
      <c r="AN622" s="627"/>
      <c r="AO622" s="610"/>
      <c r="AP622" s="610"/>
      <c r="AQ622" s="629">
        <v>1670</v>
      </c>
      <c r="AR622" s="607"/>
      <c r="AS622" s="629">
        <v>1685</v>
      </c>
      <c r="AT622" s="629">
        <v>1670</v>
      </c>
      <c r="AU622" s="151"/>
      <c r="AV622" s="151"/>
      <c r="AW622" s="147"/>
      <c r="AX622" s="119"/>
      <c r="AY622" s="604"/>
      <c r="BB622" s="14"/>
    </row>
    <row r="623" spans="1:54" ht="31.5" x14ac:dyDescent="0.25">
      <c r="A623" s="524">
        <v>5</v>
      </c>
      <c r="B623" s="630" t="s">
        <v>1654</v>
      </c>
      <c r="C623" s="450"/>
      <c r="D623" s="450"/>
      <c r="E623" s="541"/>
      <c r="F623" s="450"/>
      <c r="G623" s="607"/>
      <c r="H623" s="607"/>
      <c r="I623" s="608"/>
      <c r="J623" s="608"/>
      <c r="K623" s="608"/>
      <c r="L623" s="608"/>
      <c r="M623" s="608"/>
      <c r="N623" s="608"/>
      <c r="O623" s="608"/>
      <c r="P623" s="608"/>
      <c r="Q623" s="608"/>
      <c r="R623" s="608"/>
      <c r="S623" s="608"/>
      <c r="T623" s="608"/>
      <c r="U623" s="608"/>
      <c r="V623" s="608"/>
      <c r="W623" s="608"/>
      <c r="X623" s="609"/>
      <c r="Y623" s="609"/>
      <c r="Z623" s="609"/>
      <c r="AA623" s="609"/>
      <c r="AB623" s="609"/>
      <c r="AC623" s="607"/>
      <c r="AD623" s="607"/>
      <c r="AE623" s="607"/>
      <c r="AF623" s="607"/>
      <c r="AG623" s="607"/>
      <c r="AH623" s="607"/>
      <c r="AI623" s="607"/>
      <c r="AJ623" s="610"/>
      <c r="AK623" s="610"/>
      <c r="AL623" s="610"/>
      <c r="AM623" s="627"/>
      <c r="AN623" s="627"/>
      <c r="AO623" s="610"/>
      <c r="AP623" s="610"/>
      <c r="AQ623" s="629">
        <v>1770</v>
      </c>
      <c r="AR623" s="607"/>
      <c r="AS623" s="629">
        <v>1790</v>
      </c>
      <c r="AT623" s="629">
        <v>1770</v>
      </c>
      <c r="AU623" s="151"/>
      <c r="AV623" s="151"/>
      <c r="AW623" s="147"/>
      <c r="AX623" s="119"/>
      <c r="AY623" s="604"/>
      <c r="BB623" s="14"/>
    </row>
    <row r="624" spans="1:54" ht="39" customHeight="1" x14ac:dyDescent="0.25">
      <c r="A624" s="622" t="s">
        <v>1655</v>
      </c>
      <c r="B624" s="621" t="s">
        <v>1565</v>
      </c>
      <c r="C624" s="464"/>
      <c r="D624" s="464"/>
      <c r="E624" s="613"/>
      <c r="F624" s="464"/>
      <c r="G624" s="614"/>
      <c r="H624" s="614"/>
      <c r="I624" s="615"/>
      <c r="J624" s="615"/>
      <c r="K624" s="615"/>
      <c r="L624" s="615"/>
      <c r="M624" s="615"/>
      <c r="N624" s="615"/>
      <c r="O624" s="615"/>
      <c r="P624" s="615"/>
      <c r="Q624" s="615"/>
      <c r="R624" s="615"/>
      <c r="S624" s="615"/>
      <c r="T624" s="615"/>
      <c r="U624" s="615"/>
      <c r="V624" s="615"/>
      <c r="W624" s="615"/>
      <c r="X624" s="616"/>
      <c r="Y624" s="616"/>
      <c r="Z624" s="616"/>
      <c r="AA624" s="616"/>
      <c r="AB624" s="616"/>
      <c r="AC624" s="614"/>
      <c r="AD624" s="614"/>
      <c r="AE624" s="614"/>
      <c r="AF624" s="614"/>
      <c r="AG624" s="614"/>
      <c r="AH624" s="614"/>
      <c r="AI624" s="614"/>
      <c r="AJ624" s="617"/>
      <c r="AK624" s="617"/>
      <c r="AL624" s="617"/>
      <c r="AM624" s="618"/>
      <c r="AN624" s="618"/>
      <c r="AO624" s="617"/>
      <c r="AP624" s="617"/>
      <c r="AQ624" s="619">
        <f>SUM(AQ625:AQ628)</f>
        <v>30702</v>
      </c>
      <c r="AR624" s="619">
        <f t="shared" ref="AR624:AV624" si="90">SUM(AR625:AR628)</f>
        <v>0</v>
      </c>
      <c r="AS624" s="619">
        <f t="shared" si="90"/>
        <v>30990</v>
      </c>
      <c r="AT624" s="619">
        <f t="shared" si="90"/>
        <v>30702</v>
      </c>
      <c r="AU624" s="618">
        <f t="shared" si="90"/>
        <v>0</v>
      </c>
      <c r="AV624" s="618">
        <f t="shared" si="90"/>
        <v>0</v>
      </c>
      <c r="AW624" s="147"/>
      <c r="AX624" s="119"/>
      <c r="AY624" s="604"/>
      <c r="BB624" s="14"/>
    </row>
    <row r="625" spans="1:54" ht="31.5" x14ac:dyDescent="0.25">
      <c r="A625" s="524">
        <v>1</v>
      </c>
      <c r="B625" s="626" t="s">
        <v>1656</v>
      </c>
      <c r="C625" s="450"/>
      <c r="D625" s="450"/>
      <c r="E625" s="541"/>
      <c r="F625" s="450"/>
      <c r="G625" s="607"/>
      <c r="H625" s="607"/>
      <c r="I625" s="608"/>
      <c r="J625" s="608"/>
      <c r="K625" s="608"/>
      <c r="L625" s="608"/>
      <c r="M625" s="608"/>
      <c r="N625" s="608"/>
      <c r="O625" s="608"/>
      <c r="P625" s="608"/>
      <c r="Q625" s="608"/>
      <c r="R625" s="608"/>
      <c r="S625" s="608"/>
      <c r="T625" s="608"/>
      <c r="U625" s="608"/>
      <c r="V625" s="608"/>
      <c r="W625" s="608"/>
      <c r="X625" s="609"/>
      <c r="Y625" s="609"/>
      <c r="Z625" s="609"/>
      <c r="AA625" s="609"/>
      <c r="AB625" s="609"/>
      <c r="AC625" s="607"/>
      <c r="AD625" s="607"/>
      <c r="AE625" s="607"/>
      <c r="AF625" s="607"/>
      <c r="AG625" s="607"/>
      <c r="AH625" s="607"/>
      <c r="AI625" s="607"/>
      <c r="AJ625" s="610"/>
      <c r="AK625" s="610"/>
      <c r="AL625" s="610"/>
      <c r="AM625" s="627"/>
      <c r="AN625" s="627"/>
      <c r="AO625" s="610"/>
      <c r="AP625" s="610"/>
      <c r="AQ625" s="629">
        <v>9950</v>
      </c>
      <c r="AR625" s="607"/>
      <c r="AS625" s="629">
        <v>10000</v>
      </c>
      <c r="AT625" s="629">
        <v>9950</v>
      </c>
      <c r="AU625" s="151"/>
      <c r="AV625" s="151"/>
      <c r="AW625" s="147"/>
      <c r="AX625" s="119"/>
      <c r="AY625" s="604"/>
      <c r="BB625" s="14"/>
    </row>
    <row r="626" spans="1:54" ht="63" x14ac:dyDescent="0.25">
      <c r="A626" s="524">
        <v>2</v>
      </c>
      <c r="B626" s="626" t="s">
        <v>1657</v>
      </c>
      <c r="C626" s="450"/>
      <c r="D626" s="450"/>
      <c r="E626" s="541"/>
      <c r="F626" s="450"/>
      <c r="G626" s="607"/>
      <c r="H626" s="607"/>
      <c r="I626" s="608"/>
      <c r="J626" s="608"/>
      <c r="K626" s="608"/>
      <c r="L626" s="608"/>
      <c r="M626" s="608"/>
      <c r="N626" s="608"/>
      <c r="O626" s="608"/>
      <c r="P626" s="608"/>
      <c r="Q626" s="608"/>
      <c r="R626" s="608"/>
      <c r="S626" s="608"/>
      <c r="T626" s="608"/>
      <c r="U626" s="608"/>
      <c r="V626" s="608"/>
      <c r="W626" s="608"/>
      <c r="X626" s="609"/>
      <c r="Y626" s="609"/>
      <c r="Z626" s="609"/>
      <c r="AA626" s="609"/>
      <c r="AB626" s="609"/>
      <c r="AC626" s="607"/>
      <c r="AD626" s="607"/>
      <c r="AE626" s="607"/>
      <c r="AF626" s="607"/>
      <c r="AG626" s="607"/>
      <c r="AH626" s="607"/>
      <c r="AI626" s="607"/>
      <c r="AJ626" s="610"/>
      <c r="AK626" s="610"/>
      <c r="AL626" s="610"/>
      <c r="AM626" s="627"/>
      <c r="AN626" s="627"/>
      <c r="AO626" s="610"/>
      <c r="AP626" s="610"/>
      <c r="AQ626" s="629">
        <v>14952</v>
      </c>
      <c r="AR626" s="607"/>
      <c r="AS626" s="629">
        <v>14990</v>
      </c>
      <c r="AT626" s="629">
        <v>14952</v>
      </c>
      <c r="AU626" s="151"/>
      <c r="AV626" s="151"/>
      <c r="AW626" s="147"/>
      <c r="AX626" s="119"/>
      <c r="AY626" s="604"/>
      <c r="BB626" s="14"/>
    </row>
    <row r="627" spans="1:54" ht="39.75" customHeight="1" x14ac:dyDescent="0.25">
      <c r="A627" s="524">
        <v>3</v>
      </c>
      <c r="B627" s="626" t="s">
        <v>1658</v>
      </c>
      <c r="C627" s="450"/>
      <c r="D627" s="450"/>
      <c r="E627" s="541"/>
      <c r="F627" s="450"/>
      <c r="G627" s="607"/>
      <c r="H627" s="607"/>
      <c r="I627" s="608"/>
      <c r="J627" s="608"/>
      <c r="K627" s="608"/>
      <c r="L627" s="608"/>
      <c r="M627" s="608"/>
      <c r="N627" s="608"/>
      <c r="O627" s="608"/>
      <c r="P627" s="608"/>
      <c r="Q627" s="608"/>
      <c r="R627" s="608"/>
      <c r="S627" s="608"/>
      <c r="T627" s="608"/>
      <c r="U627" s="608"/>
      <c r="V627" s="608"/>
      <c r="W627" s="608"/>
      <c r="X627" s="609"/>
      <c r="Y627" s="609"/>
      <c r="Z627" s="609"/>
      <c r="AA627" s="609"/>
      <c r="AB627" s="609"/>
      <c r="AC627" s="607"/>
      <c r="AD627" s="607"/>
      <c r="AE627" s="607"/>
      <c r="AF627" s="607"/>
      <c r="AG627" s="607"/>
      <c r="AH627" s="607"/>
      <c r="AI627" s="607"/>
      <c r="AJ627" s="610"/>
      <c r="AK627" s="610"/>
      <c r="AL627" s="610"/>
      <c r="AM627" s="627"/>
      <c r="AN627" s="627"/>
      <c r="AO627" s="610"/>
      <c r="AP627" s="610"/>
      <c r="AQ627" s="629">
        <v>2900</v>
      </c>
      <c r="AR627" s="607"/>
      <c r="AS627" s="629">
        <v>3000</v>
      </c>
      <c r="AT627" s="629">
        <v>2900</v>
      </c>
      <c r="AU627" s="151"/>
      <c r="AV627" s="151"/>
      <c r="AW627" s="147"/>
      <c r="AX627" s="119"/>
      <c r="AY627" s="604"/>
      <c r="BB627" s="14"/>
    </row>
    <row r="628" spans="1:54" ht="39.75" customHeight="1" x14ac:dyDescent="0.25">
      <c r="A628" s="524">
        <v>4</v>
      </c>
      <c r="B628" s="626" t="s">
        <v>1659</v>
      </c>
      <c r="C628" s="450"/>
      <c r="D628" s="450"/>
      <c r="E628" s="541"/>
      <c r="F628" s="450"/>
      <c r="G628" s="607"/>
      <c r="H628" s="607"/>
      <c r="I628" s="608"/>
      <c r="J628" s="608"/>
      <c r="K628" s="608"/>
      <c r="L628" s="608"/>
      <c r="M628" s="608"/>
      <c r="N628" s="608"/>
      <c r="O628" s="608"/>
      <c r="P628" s="608"/>
      <c r="Q628" s="608"/>
      <c r="R628" s="608"/>
      <c r="S628" s="608"/>
      <c r="T628" s="608"/>
      <c r="U628" s="608"/>
      <c r="V628" s="608"/>
      <c r="W628" s="608"/>
      <c r="X628" s="609"/>
      <c r="Y628" s="609"/>
      <c r="Z628" s="609"/>
      <c r="AA628" s="609"/>
      <c r="AB628" s="609"/>
      <c r="AC628" s="607"/>
      <c r="AD628" s="607"/>
      <c r="AE628" s="607"/>
      <c r="AF628" s="607"/>
      <c r="AG628" s="607"/>
      <c r="AH628" s="607"/>
      <c r="AI628" s="607"/>
      <c r="AJ628" s="610"/>
      <c r="AK628" s="610"/>
      <c r="AL628" s="610"/>
      <c r="AM628" s="627"/>
      <c r="AN628" s="627"/>
      <c r="AO628" s="610"/>
      <c r="AP628" s="610"/>
      <c r="AQ628" s="629">
        <v>2900</v>
      </c>
      <c r="AR628" s="607"/>
      <c r="AS628" s="629">
        <v>3000</v>
      </c>
      <c r="AT628" s="629">
        <v>2900</v>
      </c>
      <c r="AU628" s="151"/>
      <c r="AV628" s="151"/>
      <c r="AW628" s="147"/>
      <c r="AX628" s="119"/>
      <c r="AY628" s="604"/>
      <c r="BB628" s="14"/>
    </row>
    <row r="629" spans="1:54" ht="31.5" x14ac:dyDescent="0.25">
      <c r="A629" s="631" t="s">
        <v>650</v>
      </c>
      <c r="B629" s="632" t="s">
        <v>1660</v>
      </c>
      <c r="C629" s="450"/>
      <c r="D629" s="450"/>
      <c r="E629" s="541"/>
      <c r="F629" s="450"/>
      <c r="G629" s="607"/>
      <c r="H629" s="607"/>
      <c r="I629" s="608"/>
      <c r="J629" s="608"/>
      <c r="K629" s="608"/>
      <c r="L629" s="608"/>
      <c r="M629" s="608"/>
      <c r="N629" s="608"/>
      <c r="O629" s="608"/>
      <c r="P629" s="608"/>
      <c r="Q629" s="608"/>
      <c r="R629" s="608"/>
      <c r="S629" s="608"/>
      <c r="T629" s="608"/>
      <c r="U629" s="608"/>
      <c r="V629" s="608"/>
      <c r="W629" s="608"/>
      <c r="X629" s="609"/>
      <c r="Y629" s="609"/>
      <c r="Z629" s="609"/>
      <c r="AA629" s="609"/>
      <c r="AB629" s="609"/>
      <c r="AC629" s="607"/>
      <c r="AD629" s="607"/>
      <c r="AE629" s="607"/>
      <c r="AF629" s="607"/>
      <c r="AG629" s="607"/>
      <c r="AH629" s="607"/>
      <c r="AI629" s="607"/>
      <c r="AJ629" s="610"/>
      <c r="AK629" s="610"/>
      <c r="AL629" s="610"/>
      <c r="AM629" s="618"/>
      <c r="AN629" s="618"/>
      <c r="AO629" s="610"/>
      <c r="AP629" s="610"/>
      <c r="AQ629" s="619">
        <f>SUM(AQ630)</f>
        <v>2935</v>
      </c>
      <c r="AR629" s="619">
        <f t="shared" ref="AR629:AV629" si="91">SUM(AR630)</f>
        <v>0</v>
      </c>
      <c r="AS629" s="619">
        <f t="shared" si="91"/>
        <v>4520</v>
      </c>
      <c r="AT629" s="619">
        <f t="shared" si="91"/>
        <v>2935</v>
      </c>
      <c r="AU629" s="618">
        <f t="shared" si="91"/>
        <v>0</v>
      </c>
      <c r="AV629" s="618">
        <f t="shared" si="91"/>
        <v>0</v>
      </c>
      <c r="AW629" s="147"/>
      <c r="AX629" s="119"/>
      <c r="AY629" s="604"/>
      <c r="BB629" s="14"/>
    </row>
    <row r="630" spans="1:54" ht="36" customHeight="1" x14ac:dyDescent="0.25">
      <c r="A630" s="631" t="s">
        <v>100</v>
      </c>
      <c r="B630" s="633" t="s">
        <v>1059</v>
      </c>
      <c r="C630" s="450"/>
      <c r="D630" s="450"/>
      <c r="E630" s="541"/>
      <c r="F630" s="450"/>
      <c r="G630" s="607"/>
      <c r="H630" s="607"/>
      <c r="I630" s="608"/>
      <c r="J630" s="608"/>
      <c r="K630" s="608"/>
      <c r="L630" s="608"/>
      <c r="M630" s="608"/>
      <c r="N630" s="608"/>
      <c r="O630" s="608"/>
      <c r="P630" s="608"/>
      <c r="Q630" s="608"/>
      <c r="R630" s="608"/>
      <c r="S630" s="608"/>
      <c r="T630" s="608"/>
      <c r="U630" s="608"/>
      <c r="V630" s="608"/>
      <c r="W630" s="608"/>
      <c r="X630" s="609"/>
      <c r="Y630" s="609"/>
      <c r="Z630" s="609"/>
      <c r="AA630" s="609"/>
      <c r="AB630" s="609"/>
      <c r="AC630" s="607"/>
      <c r="AD630" s="607"/>
      <c r="AE630" s="607"/>
      <c r="AF630" s="607"/>
      <c r="AG630" s="607"/>
      <c r="AH630" s="607"/>
      <c r="AI630" s="607"/>
      <c r="AJ630" s="610"/>
      <c r="AK630" s="610"/>
      <c r="AL630" s="610"/>
      <c r="AM630" s="634"/>
      <c r="AN630" s="634"/>
      <c r="AO630" s="610"/>
      <c r="AP630" s="610"/>
      <c r="AQ630" s="635">
        <f t="shared" ref="AQ630:AV630" si="92">SUM(AQ631,AQ633)</f>
        <v>2935</v>
      </c>
      <c r="AR630" s="635">
        <f t="shared" si="92"/>
        <v>0</v>
      </c>
      <c r="AS630" s="635">
        <f t="shared" si="92"/>
        <v>4520</v>
      </c>
      <c r="AT630" s="635">
        <f t="shared" si="92"/>
        <v>2935</v>
      </c>
      <c r="AU630" s="634">
        <f t="shared" si="92"/>
        <v>0</v>
      </c>
      <c r="AV630" s="634">
        <f t="shared" si="92"/>
        <v>0</v>
      </c>
      <c r="AW630" s="147"/>
      <c r="AX630" s="119"/>
      <c r="AY630" s="604"/>
      <c r="BB630" s="14"/>
    </row>
    <row r="631" spans="1:54" ht="78.75" x14ac:dyDescent="0.25">
      <c r="A631" s="631">
        <v>1</v>
      </c>
      <c r="B631" s="636" t="s">
        <v>1661</v>
      </c>
      <c r="C631" s="450"/>
      <c r="D631" s="450"/>
      <c r="E631" s="541"/>
      <c r="F631" s="450"/>
      <c r="G631" s="607"/>
      <c r="H631" s="607"/>
      <c r="I631" s="608"/>
      <c r="J631" s="608"/>
      <c r="K631" s="608"/>
      <c r="L631" s="608"/>
      <c r="M631" s="608"/>
      <c r="N631" s="608"/>
      <c r="O631" s="608"/>
      <c r="P631" s="608"/>
      <c r="Q631" s="608"/>
      <c r="R631" s="608"/>
      <c r="S631" s="608"/>
      <c r="T631" s="608"/>
      <c r="U631" s="608"/>
      <c r="V631" s="608"/>
      <c r="W631" s="608"/>
      <c r="X631" s="609"/>
      <c r="Y631" s="609"/>
      <c r="Z631" s="609"/>
      <c r="AA631" s="609"/>
      <c r="AB631" s="609"/>
      <c r="AC631" s="607"/>
      <c r="AD631" s="607"/>
      <c r="AE631" s="607"/>
      <c r="AF631" s="607"/>
      <c r="AG631" s="607"/>
      <c r="AH631" s="607"/>
      <c r="AI631" s="607"/>
      <c r="AJ631" s="610"/>
      <c r="AK631" s="610"/>
      <c r="AL631" s="610"/>
      <c r="AM631" s="634"/>
      <c r="AN631" s="634"/>
      <c r="AO631" s="610"/>
      <c r="AP631" s="610"/>
      <c r="AQ631" s="635">
        <f>SUM(AQ632:AQ632)</f>
        <v>1480</v>
      </c>
      <c r="AR631" s="635">
        <f t="shared" ref="AR631:AV631" si="93">SUM(AR632:AR632)</f>
        <v>0</v>
      </c>
      <c r="AS631" s="635">
        <f t="shared" si="93"/>
        <v>2280</v>
      </c>
      <c r="AT631" s="635">
        <f t="shared" si="93"/>
        <v>1480</v>
      </c>
      <c r="AU631" s="634">
        <f t="shared" si="93"/>
        <v>0</v>
      </c>
      <c r="AV631" s="634">
        <f t="shared" si="93"/>
        <v>0</v>
      </c>
      <c r="AW631" s="147"/>
      <c r="AX631" s="119"/>
      <c r="AY631" s="604"/>
      <c r="BB631" s="14"/>
    </row>
    <row r="632" spans="1:54" ht="39" customHeight="1" x14ac:dyDescent="0.25">
      <c r="A632" s="637"/>
      <c r="B632" s="638" t="s">
        <v>1662</v>
      </c>
      <c r="C632" s="450"/>
      <c r="D632" s="450"/>
      <c r="E632" s="541"/>
      <c r="F632" s="450"/>
      <c r="G632" s="607"/>
      <c r="H632" s="607"/>
      <c r="I632" s="608"/>
      <c r="J632" s="608"/>
      <c r="K632" s="608"/>
      <c r="L632" s="608"/>
      <c r="M632" s="608"/>
      <c r="N632" s="608"/>
      <c r="O632" s="608"/>
      <c r="P632" s="608"/>
      <c r="Q632" s="608"/>
      <c r="R632" s="608"/>
      <c r="S632" s="608"/>
      <c r="T632" s="608"/>
      <c r="U632" s="608"/>
      <c r="V632" s="608"/>
      <c r="W632" s="608"/>
      <c r="X632" s="609"/>
      <c r="Y632" s="609"/>
      <c r="Z632" s="609"/>
      <c r="AA632" s="609"/>
      <c r="AB632" s="609"/>
      <c r="AC632" s="607"/>
      <c r="AD632" s="607"/>
      <c r="AE632" s="607"/>
      <c r="AF632" s="607"/>
      <c r="AG632" s="607"/>
      <c r="AH632" s="607"/>
      <c r="AI632" s="607"/>
      <c r="AJ632" s="610"/>
      <c r="AK632" s="610"/>
      <c r="AL632" s="610"/>
      <c r="AM632" s="519"/>
      <c r="AN632" s="519"/>
      <c r="AO632" s="610"/>
      <c r="AP632" s="610"/>
      <c r="AQ632" s="515">
        <v>1480</v>
      </c>
      <c r="AR632" s="607"/>
      <c r="AS632" s="515">
        <v>2280</v>
      </c>
      <c r="AT632" s="515">
        <v>1480</v>
      </c>
      <c r="AU632" s="151"/>
      <c r="AV632" s="151"/>
      <c r="AW632" s="147"/>
      <c r="AX632" s="119"/>
      <c r="AY632" s="604"/>
      <c r="BB632" s="14"/>
    </row>
    <row r="633" spans="1:54" ht="47.25" x14ac:dyDescent="0.25">
      <c r="A633" s="631">
        <v>2</v>
      </c>
      <c r="B633" s="639" t="s">
        <v>1663</v>
      </c>
      <c r="C633" s="450"/>
      <c r="D633" s="450"/>
      <c r="E633" s="541"/>
      <c r="F633" s="450"/>
      <c r="G633" s="607"/>
      <c r="H633" s="607"/>
      <c r="I633" s="608"/>
      <c r="J633" s="608"/>
      <c r="K633" s="608"/>
      <c r="L633" s="608"/>
      <c r="M633" s="608"/>
      <c r="N633" s="608"/>
      <c r="O633" s="608"/>
      <c r="P633" s="608"/>
      <c r="Q633" s="608"/>
      <c r="R633" s="608"/>
      <c r="S633" s="608"/>
      <c r="T633" s="608"/>
      <c r="U633" s="608"/>
      <c r="V633" s="608"/>
      <c r="W633" s="608"/>
      <c r="X633" s="609"/>
      <c r="Y633" s="609"/>
      <c r="Z633" s="609"/>
      <c r="AA633" s="609"/>
      <c r="AB633" s="609"/>
      <c r="AC633" s="607"/>
      <c r="AD633" s="607"/>
      <c r="AE633" s="607"/>
      <c r="AF633" s="607"/>
      <c r="AG633" s="607"/>
      <c r="AH633" s="607"/>
      <c r="AI633" s="607"/>
      <c r="AJ633" s="610"/>
      <c r="AK633" s="610"/>
      <c r="AL633" s="610"/>
      <c r="AM633" s="634"/>
      <c r="AN633" s="634"/>
      <c r="AO633" s="610"/>
      <c r="AP633" s="610"/>
      <c r="AQ633" s="635">
        <f>SUM(AQ634:AQ635)</f>
        <v>1455</v>
      </c>
      <c r="AR633" s="635">
        <f t="shared" ref="AR633:AV633" si="94">SUM(AR634:AR635)</f>
        <v>0</v>
      </c>
      <c r="AS633" s="635">
        <f t="shared" si="94"/>
        <v>2240</v>
      </c>
      <c r="AT633" s="635">
        <f t="shared" si="94"/>
        <v>1455</v>
      </c>
      <c r="AU633" s="634">
        <f t="shared" si="94"/>
        <v>0</v>
      </c>
      <c r="AV633" s="634">
        <f t="shared" si="94"/>
        <v>0</v>
      </c>
      <c r="AW633" s="147"/>
      <c r="AX633" s="119"/>
      <c r="AY633" s="604"/>
      <c r="BB633" s="14"/>
    </row>
    <row r="634" spans="1:54" ht="42.75" customHeight="1" x14ac:dyDescent="0.25">
      <c r="A634" s="637"/>
      <c r="B634" s="638" t="s">
        <v>1664</v>
      </c>
      <c r="C634" s="450"/>
      <c r="D634" s="450"/>
      <c r="E634" s="541"/>
      <c r="F634" s="450"/>
      <c r="G634" s="607"/>
      <c r="H634" s="607"/>
      <c r="I634" s="608"/>
      <c r="J634" s="608"/>
      <c r="K634" s="608"/>
      <c r="L634" s="608"/>
      <c r="M634" s="608"/>
      <c r="N634" s="608"/>
      <c r="O634" s="608"/>
      <c r="P634" s="608"/>
      <c r="Q634" s="608"/>
      <c r="R634" s="608"/>
      <c r="S634" s="608"/>
      <c r="T634" s="608"/>
      <c r="U634" s="608"/>
      <c r="V634" s="608"/>
      <c r="W634" s="608"/>
      <c r="X634" s="609"/>
      <c r="Y634" s="609"/>
      <c r="Z634" s="609"/>
      <c r="AA634" s="609"/>
      <c r="AB634" s="609"/>
      <c r="AC634" s="607"/>
      <c r="AD634" s="607"/>
      <c r="AE634" s="607"/>
      <c r="AF634" s="607"/>
      <c r="AG634" s="607"/>
      <c r="AH634" s="607"/>
      <c r="AI634" s="607"/>
      <c r="AJ634" s="610"/>
      <c r="AK634" s="610"/>
      <c r="AL634" s="610"/>
      <c r="AM634" s="519"/>
      <c r="AN634" s="519"/>
      <c r="AO634" s="610"/>
      <c r="AP634" s="610"/>
      <c r="AQ634" s="515">
        <v>800</v>
      </c>
      <c r="AR634" s="607"/>
      <c r="AS634" s="515">
        <v>1240</v>
      </c>
      <c r="AT634" s="515">
        <v>800</v>
      </c>
      <c r="AU634" s="151"/>
      <c r="AV634" s="151"/>
      <c r="AW634" s="147"/>
      <c r="AX634" s="119"/>
      <c r="AY634" s="604"/>
      <c r="BB634" s="14"/>
    </row>
    <row r="635" spans="1:54" ht="42.75" customHeight="1" x14ac:dyDescent="0.25">
      <c r="A635" s="524"/>
      <c r="B635" s="572" t="s">
        <v>1665</v>
      </c>
      <c r="C635" s="450"/>
      <c r="D635" s="450"/>
      <c r="E635" s="541"/>
      <c r="F635" s="450"/>
      <c r="G635" s="607"/>
      <c r="H635" s="607"/>
      <c r="I635" s="608"/>
      <c r="J635" s="608"/>
      <c r="K635" s="608"/>
      <c r="L635" s="608"/>
      <c r="M635" s="608"/>
      <c r="N635" s="608"/>
      <c r="O635" s="608"/>
      <c r="P635" s="608"/>
      <c r="Q635" s="608"/>
      <c r="R635" s="608"/>
      <c r="S635" s="608"/>
      <c r="T635" s="608"/>
      <c r="U635" s="608"/>
      <c r="V635" s="608"/>
      <c r="W635" s="608"/>
      <c r="X635" s="609"/>
      <c r="Y635" s="609"/>
      <c r="Z635" s="609"/>
      <c r="AA635" s="609"/>
      <c r="AB635" s="609"/>
      <c r="AC635" s="607"/>
      <c r="AD635" s="607"/>
      <c r="AE635" s="607"/>
      <c r="AF635" s="607"/>
      <c r="AG635" s="607"/>
      <c r="AH635" s="607"/>
      <c r="AI635" s="607"/>
      <c r="AJ635" s="610"/>
      <c r="AK635" s="610"/>
      <c r="AL635" s="610"/>
      <c r="AM635" s="519"/>
      <c r="AN635" s="627"/>
      <c r="AO635" s="610"/>
      <c r="AP635" s="610"/>
      <c r="AQ635" s="629">
        <v>655</v>
      </c>
      <c r="AR635" s="607"/>
      <c r="AS635" s="515">
        <v>1000</v>
      </c>
      <c r="AT635" s="629">
        <v>655</v>
      </c>
      <c r="AU635" s="151"/>
      <c r="AV635" s="151"/>
      <c r="AW635" s="147"/>
      <c r="AX635" s="119"/>
      <c r="AY635" s="604"/>
      <c r="BB635" s="14"/>
    </row>
  </sheetData>
  <mergeCells count="83">
    <mergeCell ref="A6:A12"/>
    <mergeCell ref="B6:B12"/>
    <mergeCell ref="C6:C12"/>
    <mergeCell ref="D6:D12"/>
    <mergeCell ref="E6:E12"/>
    <mergeCell ref="A1:AW1"/>
    <mergeCell ref="A2:AW2"/>
    <mergeCell ref="A3:AW3"/>
    <mergeCell ref="A4:AW4"/>
    <mergeCell ref="A5:AW5"/>
    <mergeCell ref="F6:H7"/>
    <mergeCell ref="I6:K7"/>
    <mergeCell ref="L6:M7"/>
    <mergeCell ref="N6:O7"/>
    <mergeCell ref="X6:AA7"/>
    <mergeCell ref="AM6:AP7"/>
    <mergeCell ref="AQ6:AR7"/>
    <mergeCell ref="AS6:AV7"/>
    <mergeCell ref="AW6:AW12"/>
    <mergeCell ref="P7:S7"/>
    <mergeCell ref="T7:W7"/>
    <mergeCell ref="AB7:AC8"/>
    <mergeCell ref="AD7:AG7"/>
    <mergeCell ref="AH7:AJ7"/>
    <mergeCell ref="X8:X12"/>
    <mergeCell ref="AK6:AL7"/>
    <mergeCell ref="U8:W8"/>
    <mergeCell ref="T8:T12"/>
    <mergeCell ref="AQ8:AQ12"/>
    <mergeCell ref="AR8:AR12"/>
    <mergeCell ref="AS8:AS12"/>
    <mergeCell ref="F8:F12"/>
    <mergeCell ref="G8:H8"/>
    <mergeCell ref="I8:I12"/>
    <mergeCell ref="J8:K8"/>
    <mergeCell ref="L8:L12"/>
    <mergeCell ref="M8:M12"/>
    <mergeCell ref="N8:N12"/>
    <mergeCell ref="O8:O12"/>
    <mergeCell ref="P8:P12"/>
    <mergeCell ref="Q8:S8"/>
    <mergeCell ref="AK8:AK12"/>
    <mergeCell ref="Z9:AA9"/>
    <mergeCell ref="AB9:AB12"/>
    <mergeCell ref="AC9:AC12"/>
    <mergeCell ref="AE9:AE12"/>
    <mergeCell ref="Y8:AA8"/>
    <mergeCell ref="AD8:AD12"/>
    <mergeCell ref="AE8:AG8"/>
    <mergeCell ref="AH8:AH12"/>
    <mergeCell ref="AI8:AJ8"/>
    <mergeCell ref="AO9:AP9"/>
    <mergeCell ref="AT9:AT12"/>
    <mergeCell ref="AP10:AP12"/>
    <mergeCell ref="AT8:AV8"/>
    <mergeCell ref="G9:G12"/>
    <mergeCell ref="H9:H12"/>
    <mergeCell ref="J9:J12"/>
    <mergeCell ref="K9:K12"/>
    <mergeCell ref="Q9:Q12"/>
    <mergeCell ref="R9:S9"/>
    <mergeCell ref="U9:U12"/>
    <mergeCell ref="V9:W9"/>
    <mergeCell ref="Y9:Y12"/>
    <mergeCell ref="AL8:AL12"/>
    <mergeCell ref="AM8:AM12"/>
    <mergeCell ref="AN8:AP8"/>
    <mergeCell ref="AU10:AU12"/>
    <mergeCell ref="AV10:AV12"/>
    <mergeCell ref="AU9:AV9"/>
    <mergeCell ref="R10:R12"/>
    <mergeCell ref="S10:S12"/>
    <mergeCell ref="V10:V12"/>
    <mergeCell ref="W10:W12"/>
    <mergeCell ref="Z10:Z12"/>
    <mergeCell ref="AA10:AA12"/>
    <mergeCell ref="AF10:AF12"/>
    <mergeCell ref="AG10:AG12"/>
    <mergeCell ref="AO10:AO12"/>
    <mergeCell ref="AF9:AG9"/>
    <mergeCell ref="AI9:AI12"/>
    <mergeCell ref="AJ9:AJ12"/>
    <mergeCell ref="AN9:AN12"/>
  </mergeCells>
  <pageMargins left="0.7" right="0.35" top="0.47" bottom="0.4" header="0.3" footer="0.26"/>
  <pageSetup paperSize="8" scale="57"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BC289"/>
  <sheetViews>
    <sheetView view="pageBreakPreview" zoomScale="70" zoomScaleNormal="68" zoomScaleSheetLayoutView="70" workbookViewId="0">
      <pane xSplit="5" ySplit="13" topLeftCell="L239" activePane="bottomRight" state="frozen"/>
      <selection pane="topRight" activeCell="F1" sqref="F1"/>
      <selection pane="bottomLeft" activeCell="A14" sqref="A14"/>
      <selection pane="bottomRight" activeCell="AP261" sqref="AP261"/>
    </sheetView>
  </sheetViews>
  <sheetFormatPr defaultColWidth="9.85546875" defaultRowHeight="15.75" x14ac:dyDescent="0.25"/>
  <cols>
    <col min="1" max="1" width="7" style="312" customWidth="1"/>
    <col min="2" max="2" width="29.42578125" style="124" customWidth="1"/>
    <col min="3" max="3" width="9.42578125" style="313" customWidth="1"/>
    <col min="4" max="4" width="9.85546875" style="313" customWidth="1"/>
    <col min="5" max="5" width="7.5703125" style="313" customWidth="1"/>
    <col min="6" max="6" width="12.140625" style="313" customWidth="1"/>
    <col min="7" max="7" width="15.7109375" style="314" customWidth="1"/>
    <col min="8" max="8" width="15" style="314" customWidth="1"/>
    <col min="9" max="9" width="11.85546875" style="314" hidden="1" customWidth="1"/>
    <col min="10" max="10" width="11.140625" style="314" hidden="1" customWidth="1"/>
    <col min="11" max="11" width="9.28515625" style="314" hidden="1" customWidth="1"/>
    <col min="12" max="12" width="13.140625" style="314" customWidth="1"/>
    <col min="13" max="15" width="13.28515625" style="314" customWidth="1"/>
    <col min="16" max="16" width="11.85546875" style="314" hidden="1" customWidth="1"/>
    <col min="17" max="17" width="11.7109375" style="314" hidden="1" customWidth="1"/>
    <col min="18" max="19" width="9" style="314" hidden="1" customWidth="1"/>
    <col min="20" max="20" width="10.5703125" style="314" hidden="1" customWidth="1"/>
    <col min="21" max="21" width="11.85546875" style="314" hidden="1" customWidth="1"/>
    <col min="22" max="22" width="9.42578125" style="314" hidden="1" customWidth="1"/>
    <col min="23" max="23" width="8" style="314" hidden="1" customWidth="1"/>
    <col min="24" max="24" width="14.5703125" style="314" hidden="1" customWidth="1"/>
    <col min="25" max="25" width="13.5703125" style="314" hidden="1" customWidth="1"/>
    <col min="26" max="26" width="13.85546875" style="314" hidden="1" customWidth="1"/>
    <col min="27" max="27" width="11" style="314" hidden="1" customWidth="1"/>
    <col min="28" max="28" width="9.5703125" style="314" hidden="1" customWidth="1"/>
    <col min="29" max="29" width="11" style="314" hidden="1" customWidth="1"/>
    <col min="30" max="31" width="10.85546875" style="314" hidden="1" customWidth="1"/>
    <col min="32" max="32" width="8.85546875" style="314" hidden="1" customWidth="1"/>
    <col min="33" max="33" width="7.5703125" style="314" hidden="1" customWidth="1"/>
    <col min="34" max="35" width="10.7109375" style="314" hidden="1" customWidth="1"/>
    <col min="36" max="36" width="12.28515625" style="314" hidden="1" customWidth="1"/>
    <col min="37" max="37" width="12" style="314" hidden="1" customWidth="1"/>
    <col min="38" max="38" width="15.5703125" style="314" hidden="1" customWidth="1"/>
    <col min="39" max="40" width="15.5703125" style="314" customWidth="1"/>
    <col min="41" max="41" width="14.140625" style="314" customWidth="1"/>
    <col min="42" max="42" width="13.5703125" style="314" customWidth="1"/>
    <col min="43" max="43" width="12.7109375" style="314" customWidth="1"/>
    <col min="44" max="44" width="13" style="314" customWidth="1"/>
    <col min="45" max="45" width="14.7109375" style="314" customWidth="1"/>
    <col min="46" max="46" width="14.5703125" style="314" customWidth="1"/>
    <col min="47" max="47" width="13.28515625" style="314" customWidth="1"/>
    <col min="48" max="48" width="12" style="314" customWidth="1"/>
    <col min="49" max="49" width="18.28515625" style="315" customWidth="1"/>
    <col min="50" max="50" width="16.28515625" style="314" customWidth="1"/>
    <col min="51" max="51" width="15.7109375" style="119" customWidth="1"/>
    <col min="52" max="52" width="9.42578125" style="119" customWidth="1"/>
    <col min="53" max="53" width="12.85546875" style="119" customWidth="1"/>
    <col min="54" max="54" width="10" style="119" customWidth="1"/>
    <col min="55" max="55" width="11.140625" style="119" bestFit="1" customWidth="1"/>
    <col min="56" max="16384" width="9.85546875" style="119"/>
  </cols>
  <sheetData>
    <row r="1" spans="1:54" ht="20.45" customHeight="1" x14ac:dyDescent="0.25">
      <c r="A1" s="848" t="s">
        <v>0</v>
      </c>
      <c r="B1" s="848"/>
      <c r="C1" s="848"/>
      <c r="D1" s="848"/>
      <c r="E1" s="848"/>
      <c r="F1" s="848"/>
      <c r="G1" s="848"/>
      <c r="H1" s="848"/>
      <c r="I1" s="848"/>
      <c r="J1" s="848"/>
      <c r="K1" s="848"/>
      <c r="L1" s="848"/>
      <c r="M1" s="848"/>
      <c r="N1" s="848"/>
      <c r="O1" s="848"/>
      <c r="P1" s="848"/>
      <c r="Q1" s="848"/>
      <c r="R1" s="848"/>
      <c r="S1" s="848"/>
      <c r="T1" s="848"/>
      <c r="U1" s="848"/>
      <c r="V1" s="848"/>
      <c r="W1" s="848"/>
      <c r="X1" s="848"/>
      <c r="Y1" s="848"/>
      <c r="Z1" s="848"/>
      <c r="AA1" s="848"/>
      <c r="AB1" s="848"/>
      <c r="AC1" s="848"/>
      <c r="AD1" s="848"/>
      <c r="AE1" s="848"/>
      <c r="AF1" s="848"/>
      <c r="AG1" s="848"/>
      <c r="AH1" s="848"/>
      <c r="AI1" s="848"/>
      <c r="AJ1" s="848"/>
      <c r="AK1" s="848"/>
      <c r="AL1" s="848"/>
      <c r="AM1" s="848"/>
      <c r="AN1" s="848"/>
      <c r="AO1" s="848"/>
      <c r="AP1" s="848"/>
      <c r="AQ1" s="848"/>
      <c r="AR1" s="848"/>
      <c r="AS1" s="848"/>
      <c r="AT1" s="848"/>
      <c r="AU1" s="848"/>
      <c r="AV1" s="848"/>
      <c r="AW1" s="848"/>
      <c r="AX1" s="118"/>
    </row>
    <row r="2" spans="1:54" ht="25.5" customHeight="1" x14ac:dyDescent="0.25">
      <c r="A2" s="849" t="s">
        <v>680</v>
      </c>
      <c r="B2" s="849"/>
      <c r="C2" s="849"/>
      <c r="D2" s="849"/>
      <c r="E2" s="849"/>
      <c r="F2" s="849"/>
      <c r="G2" s="849"/>
      <c r="H2" s="849"/>
      <c r="I2" s="849"/>
      <c r="J2" s="849"/>
      <c r="K2" s="849"/>
      <c r="L2" s="849"/>
      <c r="M2" s="849"/>
      <c r="N2" s="849"/>
      <c r="O2" s="849"/>
      <c r="P2" s="849"/>
      <c r="Q2" s="849"/>
      <c r="R2" s="849"/>
      <c r="S2" s="849"/>
      <c r="T2" s="849"/>
      <c r="U2" s="849"/>
      <c r="V2" s="849"/>
      <c r="W2" s="849"/>
      <c r="X2" s="849"/>
      <c r="Y2" s="849"/>
      <c r="Z2" s="849"/>
      <c r="AA2" s="849"/>
      <c r="AB2" s="849"/>
      <c r="AC2" s="849"/>
      <c r="AD2" s="849"/>
      <c r="AE2" s="849"/>
      <c r="AF2" s="849"/>
      <c r="AG2" s="849"/>
      <c r="AH2" s="849"/>
      <c r="AI2" s="849"/>
      <c r="AJ2" s="849"/>
      <c r="AK2" s="849"/>
      <c r="AL2" s="849"/>
      <c r="AM2" s="849"/>
      <c r="AN2" s="849"/>
      <c r="AO2" s="849"/>
      <c r="AP2" s="849"/>
      <c r="AQ2" s="849"/>
      <c r="AR2" s="849"/>
      <c r="AS2" s="849"/>
      <c r="AT2" s="849"/>
      <c r="AU2" s="849"/>
      <c r="AV2" s="849"/>
      <c r="AW2" s="849"/>
      <c r="AX2" s="61"/>
    </row>
    <row r="3" spans="1:54" s="121" customFormat="1" ht="30" customHeight="1" x14ac:dyDescent="0.25">
      <c r="A3" s="882" t="s">
        <v>681</v>
      </c>
      <c r="B3" s="882"/>
      <c r="C3" s="882"/>
      <c r="D3" s="882"/>
      <c r="E3" s="882"/>
      <c r="F3" s="882"/>
      <c r="G3" s="882"/>
      <c r="H3" s="882"/>
      <c r="I3" s="882"/>
      <c r="J3" s="882"/>
      <c r="K3" s="882"/>
      <c r="L3" s="882"/>
      <c r="M3" s="882"/>
      <c r="N3" s="882"/>
      <c r="O3" s="882"/>
      <c r="P3" s="882"/>
      <c r="Q3" s="882"/>
      <c r="R3" s="882"/>
      <c r="S3" s="882"/>
      <c r="T3" s="882"/>
      <c r="U3" s="882"/>
      <c r="V3" s="882"/>
      <c r="W3" s="882"/>
      <c r="X3" s="882"/>
      <c r="Y3" s="882"/>
      <c r="Z3" s="882"/>
      <c r="AA3" s="882"/>
      <c r="AB3" s="882"/>
      <c r="AC3" s="882"/>
      <c r="AD3" s="882"/>
      <c r="AE3" s="882"/>
      <c r="AF3" s="882"/>
      <c r="AG3" s="882"/>
      <c r="AH3" s="882"/>
      <c r="AI3" s="882"/>
      <c r="AJ3" s="882"/>
      <c r="AK3" s="882"/>
      <c r="AL3" s="882"/>
      <c r="AM3" s="882"/>
      <c r="AN3" s="882"/>
      <c r="AO3" s="882"/>
      <c r="AP3" s="882"/>
      <c r="AQ3" s="882"/>
      <c r="AR3" s="882"/>
      <c r="AS3" s="882"/>
      <c r="AT3" s="882"/>
      <c r="AU3" s="882"/>
      <c r="AV3" s="882"/>
      <c r="AW3" s="882"/>
      <c r="AX3" s="120"/>
    </row>
    <row r="4" spans="1:54" s="121" customFormat="1" ht="24.75" customHeight="1" x14ac:dyDescent="0.25">
      <c r="A4" s="883" t="s">
        <v>671</v>
      </c>
      <c r="B4" s="883"/>
      <c r="C4" s="883"/>
      <c r="D4" s="883"/>
      <c r="E4" s="883"/>
      <c r="F4" s="883"/>
      <c r="G4" s="883"/>
      <c r="H4" s="883"/>
      <c r="I4" s="883"/>
      <c r="J4" s="883"/>
      <c r="K4" s="883"/>
      <c r="L4" s="883"/>
      <c r="M4" s="883"/>
      <c r="N4" s="883"/>
      <c r="O4" s="883"/>
      <c r="P4" s="883"/>
      <c r="Q4" s="883"/>
      <c r="R4" s="883"/>
      <c r="S4" s="883"/>
      <c r="T4" s="883"/>
      <c r="U4" s="883"/>
      <c r="V4" s="883"/>
      <c r="W4" s="883"/>
      <c r="X4" s="883"/>
      <c r="Y4" s="883"/>
      <c r="Z4" s="883"/>
      <c r="AA4" s="883"/>
      <c r="AB4" s="883"/>
      <c r="AC4" s="883"/>
      <c r="AD4" s="883"/>
      <c r="AE4" s="883"/>
      <c r="AF4" s="883"/>
      <c r="AG4" s="883"/>
      <c r="AH4" s="883"/>
      <c r="AI4" s="883"/>
      <c r="AJ4" s="883"/>
      <c r="AK4" s="883"/>
      <c r="AL4" s="883"/>
      <c r="AM4" s="883"/>
      <c r="AN4" s="883"/>
      <c r="AO4" s="883"/>
      <c r="AP4" s="883"/>
      <c r="AQ4" s="883"/>
      <c r="AR4" s="883"/>
      <c r="AS4" s="883"/>
      <c r="AT4" s="883"/>
      <c r="AU4" s="883"/>
      <c r="AV4" s="883"/>
      <c r="AW4" s="883"/>
      <c r="AX4" s="122"/>
    </row>
    <row r="5" spans="1:54" s="124" customFormat="1" ht="21" customHeight="1" x14ac:dyDescent="0.25">
      <c r="A5" s="852" t="s">
        <v>1</v>
      </c>
      <c r="B5" s="852"/>
      <c r="C5" s="852"/>
      <c r="D5" s="852"/>
      <c r="E5" s="852"/>
      <c r="F5" s="852"/>
      <c r="G5" s="852"/>
      <c r="H5" s="852"/>
      <c r="I5" s="852"/>
      <c r="J5" s="852"/>
      <c r="K5" s="852"/>
      <c r="L5" s="852"/>
      <c r="M5" s="852"/>
      <c r="N5" s="852"/>
      <c r="O5" s="852"/>
      <c r="P5" s="852"/>
      <c r="Q5" s="852"/>
      <c r="R5" s="852"/>
      <c r="S5" s="852"/>
      <c r="T5" s="852"/>
      <c r="U5" s="852"/>
      <c r="V5" s="852"/>
      <c r="W5" s="852"/>
      <c r="X5" s="852"/>
      <c r="Y5" s="852"/>
      <c r="Z5" s="852"/>
      <c r="AA5" s="852"/>
      <c r="AB5" s="852"/>
      <c r="AC5" s="852"/>
      <c r="AD5" s="852"/>
      <c r="AE5" s="852"/>
      <c r="AF5" s="852"/>
      <c r="AG5" s="852"/>
      <c r="AH5" s="852"/>
      <c r="AI5" s="852"/>
      <c r="AJ5" s="852"/>
      <c r="AK5" s="852"/>
      <c r="AL5" s="852"/>
      <c r="AM5" s="852"/>
      <c r="AN5" s="852"/>
      <c r="AO5" s="852"/>
      <c r="AP5" s="852"/>
      <c r="AQ5" s="852"/>
      <c r="AR5" s="852"/>
      <c r="AS5" s="852"/>
      <c r="AT5" s="852"/>
      <c r="AU5" s="852"/>
      <c r="AV5" s="852"/>
      <c r="AW5" s="852"/>
      <c r="AX5" s="123"/>
    </row>
    <row r="6" spans="1:54" s="129" customFormat="1" ht="34.5" customHeight="1" x14ac:dyDescent="0.25">
      <c r="A6" s="854" t="s">
        <v>2</v>
      </c>
      <c r="B6" s="854" t="s">
        <v>3</v>
      </c>
      <c r="C6" s="854" t="s">
        <v>4</v>
      </c>
      <c r="D6" s="854" t="s">
        <v>5</v>
      </c>
      <c r="E6" s="854" t="s">
        <v>6</v>
      </c>
      <c r="F6" s="854" t="s">
        <v>7</v>
      </c>
      <c r="G6" s="854"/>
      <c r="H6" s="854"/>
      <c r="I6" s="854" t="s">
        <v>8</v>
      </c>
      <c r="J6" s="854"/>
      <c r="K6" s="854"/>
      <c r="L6" s="854" t="s">
        <v>9</v>
      </c>
      <c r="M6" s="854"/>
      <c r="N6" s="854" t="s">
        <v>10</v>
      </c>
      <c r="O6" s="854"/>
      <c r="P6" s="125"/>
      <c r="Q6" s="126"/>
      <c r="R6" s="126"/>
      <c r="S6" s="126"/>
      <c r="T6" s="126"/>
      <c r="U6" s="126"/>
      <c r="V6" s="126"/>
      <c r="W6" s="126"/>
      <c r="X6" s="880" t="s">
        <v>11</v>
      </c>
      <c r="Y6" s="880"/>
      <c r="Z6" s="880"/>
      <c r="AA6" s="880"/>
      <c r="AB6" s="126"/>
      <c r="AC6" s="126"/>
      <c r="AD6" s="126"/>
      <c r="AE6" s="126"/>
      <c r="AF6" s="126"/>
      <c r="AG6" s="126"/>
      <c r="AH6" s="126"/>
      <c r="AI6" s="126"/>
      <c r="AJ6" s="127"/>
      <c r="AK6" s="853" t="s">
        <v>12</v>
      </c>
      <c r="AL6" s="853"/>
      <c r="AM6" s="854" t="s">
        <v>2098</v>
      </c>
      <c r="AN6" s="854"/>
      <c r="AO6" s="854"/>
      <c r="AP6" s="854"/>
      <c r="AQ6" s="853" t="s">
        <v>12</v>
      </c>
      <c r="AR6" s="853"/>
      <c r="AS6" s="854" t="s">
        <v>13</v>
      </c>
      <c r="AT6" s="854"/>
      <c r="AU6" s="854"/>
      <c r="AV6" s="854"/>
      <c r="AW6" s="871" t="s">
        <v>14</v>
      </c>
      <c r="AX6" s="128"/>
      <c r="AZ6" s="130" t="s">
        <v>15</v>
      </c>
      <c r="BA6" s="130" t="s">
        <v>16</v>
      </c>
      <c r="BB6" s="130" t="s">
        <v>17</v>
      </c>
    </row>
    <row r="7" spans="1:54" s="128" customFormat="1" ht="23.25" customHeight="1" x14ac:dyDescent="0.25">
      <c r="A7" s="854"/>
      <c r="B7" s="854"/>
      <c r="C7" s="854"/>
      <c r="D7" s="854"/>
      <c r="E7" s="854"/>
      <c r="F7" s="854"/>
      <c r="G7" s="854"/>
      <c r="H7" s="854"/>
      <c r="I7" s="854"/>
      <c r="J7" s="854"/>
      <c r="K7" s="854"/>
      <c r="L7" s="854"/>
      <c r="M7" s="854"/>
      <c r="N7" s="854"/>
      <c r="O7" s="854"/>
      <c r="P7" s="854" t="s">
        <v>18</v>
      </c>
      <c r="Q7" s="854"/>
      <c r="R7" s="854"/>
      <c r="S7" s="854"/>
      <c r="T7" s="854" t="s">
        <v>19</v>
      </c>
      <c r="U7" s="854"/>
      <c r="V7" s="854"/>
      <c r="W7" s="854"/>
      <c r="X7" s="881"/>
      <c r="Y7" s="881"/>
      <c r="Z7" s="881"/>
      <c r="AA7" s="881"/>
      <c r="AB7" s="874" t="s">
        <v>20</v>
      </c>
      <c r="AC7" s="875"/>
      <c r="AD7" s="854" t="s">
        <v>21</v>
      </c>
      <c r="AE7" s="854"/>
      <c r="AF7" s="854"/>
      <c r="AG7" s="854"/>
      <c r="AH7" s="854" t="s">
        <v>22</v>
      </c>
      <c r="AI7" s="854"/>
      <c r="AJ7" s="854"/>
      <c r="AK7" s="853"/>
      <c r="AL7" s="853"/>
      <c r="AM7" s="854"/>
      <c r="AN7" s="854"/>
      <c r="AO7" s="854"/>
      <c r="AP7" s="854"/>
      <c r="AQ7" s="853"/>
      <c r="AR7" s="853"/>
      <c r="AS7" s="854"/>
      <c r="AT7" s="854"/>
      <c r="AU7" s="854"/>
      <c r="AV7" s="854"/>
      <c r="AW7" s="872"/>
      <c r="AX7" s="381" t="s">
        <v>675</v>
      </c>
      <c r="AZ7" s="131">
        <f>SUM(AZ38:AZ183)</f>
        <v>30</v>
      </c>
      <c r="BA7" s="131">
        <f>SUM(BA38:BA183)</f>
        <v>19</v>
      </c>
      <c r="BB7" s="131">
        <f>SUM(BB51:BB183)</f>
        <v>7</v>
      </c>
    </row>
    <row r="8" spans="1:54" s="128" customFormat="1" ht="21.75" customHeight="1" x14ac:dyDescent="0.25">
      <c r="A8" s="854"/>
      <c r="B8" s="854"/>
      <c r="C8" s="854"/>
      <c r="D8" s="854"/>
      <c r="E8" s="854"/>
      <c r="F8" s="854" t="s">
        <v>23</v>
      </c>
      <c r="G8" s="854" t="s">
        <v>24</v>
      </c>
      <c r="H8" s="854"/>
      <c r="I8" s="854" t="s">
        <v>23</v>
      </c>
      <c r="J8" s="854" t="s">
        <v>24</v>
      </c>
      <c r="K8" s="854"/>
      <c r="L8" s="854" t="s">
        <v>25</v>
      </c>
      <c r="M8" s="868" t="s">
        <v>26</v>
      </c>
      <c r="N8" s="854" t="s">
        <v>25</v>
      </c>
      <c r="O8" s="868" t="s">
        <v>26</v>
      </c>
      <c r="P8" s="854" t="s">
        <v>25</v>
      </c>
      <c r="Q8" s="854" t="s">
        <v>26</v>
      </c>
      <c r="R8" s="854"/>
      <c r="S8" s="854"/>
      <c r="T8" s="854" t="s">
        <v>25</v>
      </c>
      <c r="U8" s="854" t="s">
        <v>26</v>
      </c>
      <c r="V8" s="854"/>
      <c r="W8" s="854"/>
      <c r="X8" s="854" t="s">
        <v>25</v>
      </c>
      <c r="Y8" s="854" t="s">
        <v>26</v>
      </c>
      <c r="Z8" s="854"/>
      <c r="AA8" s="854"/>
      <c r="AB8" s="876"/>
      <c r="AC8" s="877"/>
      <c r="AD8" s="854" t="s">
        <v>25</v>
      </c>
      <c r="AE8" s="854" t="s">
        <v>26</v>
      </c>
      <c r="AF8" s="854"/>
      <c r="AG8" s="854"/>
      <c r="AH8" s="854" t="s">
        <v>25</v>
      </c>
      <c r="AI8" s="878" t="s">
        <v>26</v>
      </c>
      <c r="AJ8" s="879"/>
      <c r="AK8" s="855" t="s">
        <v>27</v>
      </c>
      <c r="AL8" s="855" t="s">
        <v>28</v>
      </c>
      <c r="AM8" s="854" t="s">
        <v>25</v>
      </c>
      <c r="AN8" s="854" t="s">
        <v>26</v>
      </c>
      <c r="AO8" s="854"/>
      <c r="AP8" s="854"/>
      <c r="AQ8" s="855" t="s">
        <v>27</v>
      </c>
      <c r="AR8" s="855" t="s">
        <v>28</v>
      </c>
      <c r="AS8" s="854" t="s">
        <v>25</v>
      </c>
      <c r="AT8" s="854" t="s">
        <v>26</v>
      </c>
      <c r="AU8" s="854"/>
      <c r="AV8" s="854"/>
      <c r="AW8" s="872"/>
    </row>
    <row r="9" spans="1:54" s="128" customFormat="1" ht="21" customHeight="1" x14ac:dyDescent="0.25">
      <c r="A9" s="854"/>
      <c r="B9" s="854"/>
      <c r="C9" s="854"/>
      <c r="D9" s="854"/>
      <c r="E9" s="854"/>
      <c r="F9" s="854"/>
      <c r="G9" s="854" t="s">
        <v>25</v>
      </c>
      <c r="H9" s="854" t="s">
        <v>29</v>
      </c>
      <c r="I9" s="854"/>
      <c r="J9" s="854" t="s">
        <v>25</v>
      </c>
      <c r="K9" s="854" t="s">
        <v>29</v>
      </c>
      <c r="L9" s="854"/>
      <c r="M9" s="869"/>
      <c r="N9" s="854"/>
      <c r="O9" s="869"/>
      <c r="P9" s="854"/>
      <c r="Q9" s="854" t="s">
        <v>30</v>
      </c>
      <c r="R9" s="858" t="s">
        <v>31</v>
      </c>
      <c r="S9" s="858"/>
      <c r="T9" s="854"/>
      <c r="U9" s="854" t="s">
        <v>30</v>
      </c>
      <c r="V9" s="858" t="s">
        <v>31</v>
      </c>
      <c r="W9" s="858"/>
      <c r="X9" s="854"/>
      <c r="Y9" s="854" t="s">
        <v>30</v>
      </c>
      <c r="Z9" s="858" t="s">
        <v>31</v>
      </c>
      <c r="AA9" s="858"/>
      <c r="AB9" s="866" t="s">
        <v>32</v>
      </c>
      <c r="AC9" s="866" t="s">
        <v>33</v>
      </c>
      <c r="AD9" s="854"/>
      <c r="AE9" s="854" t="s">
        <v>30</v>
      </c>
      <c r="AF9" s="858" t="s">
        <v>31</v>
      </c>
      <c r="AG9" s="858"/>
      <c r="AH9" s="854"/>
      <c r="AI9" s="854" t="s">
        <v>30</v>
      </c>
      <c r="AJ9" s="863" t="s">
        <v>34</v>
      </c>
      <c r="AK9" s="856"/>
      <c r="AL9" s="856"/>
      <c r="AM9" s="854"/>
      <c r="AN9" s="854" t="s">
        <v>30</v>
      </c>
      <c r="AO9" s="858" t="s">
        <v>31</v>
      </c>
      <c r="AP9" s="858"/>
      <c r="AQ9" s="856"/>
      <c r="AR9" s="856"/>
      <c r="AS9" s="854"/>
      <c r="AT9" s="854" t="s">
        <v>30</v>
      </c>
      <c r="AU9" s="858" t="s">
        <v>31</v>
      </c>
      <c r="AV9" s="858"/>
      <c r="AW9" s="872"/>
    </row>
    <row r="10" spans="1:54" s="128" customFormat="1" ht="14.25" customHeight="1" x14ac:dyDescent="0.25">
      <c r="A10" s="854"/>
      <c r="B10" s="854"/>
      <c r="C10" s="854"/>
      <c r="D10" s="854"/>
      <c r="E10" s="854"/>
      <c r="F10" s="854"/>
      <c r="G10" s="854"/>
      <c r="H10" s="854"/>
      <c r="I10" s="854"/>
      <c r="J10" s="854"/>
      <c r="K10" s="854"/>
      <c r="L10" s="854"/>
      <c r="M10" s="869"/>
      <c r="N10" s="854"/>
      <c r="O10" s="869"/>
      <c r="P10" s="854"/>
      <c r="Q10" s="854"/>
      <c r="R10" s="858" t="s">
        <v>35</v>
      </c>
      <c r="S10" s="858" t="s">
        <v>36</v>
      </c>
      <c r="T10" s="854"/>
      <c r="U10" s="854"/>
      <c r="V10" s="858" t="s">
        <v>35</v>
      </c>
      <c r="W10" s="858" t="s">
        <v>36</v>
      </c>
      <c r="X10" s="854"/>
      <c r="Y10" s="854"/>
      <c r="Z10" s="858" t="s">
        <v>35</v>
      </c>
      <c r="AA10" s="858" t="s">
        <v>36</v>
      </c>
      <c r="AB10" s="867"/>
      <c r="AC10" s="867"/>
      <c r="AD10" s="854"/>
      <c r="AE10" s="854"/>
      <c r="AF10" s="858" t="s">
        <v>35</v>
      </c>
      <c r="AG10" s="858" t="s">
        <v>36</v>
      </c>
      <c r="AH10" s="854"/>
      <c r="AI10" s="854"/>
      <c r="AJ10" s="864"/>
      <c r="AK10" s="856"/>
      <c r="AL10" s="856"/>
      <c r="AM10" s="854"/>
      <c r="AN10" s="854"/>
      <c r="AO10" s="858" t="s">
        <v>35</v>
      </c>
      <c r="AP10" s="858" t="s">
        <v>36</v>
      </c>
      <c r="AQ10" s="856"/>
      <c r="AR10" s="856"/>
      <c r="AS10" s="854"/>
      <c r="AT10" s="854"/>
      <c r="AU10" s="858" t="s">
        <v>35</v>
      </c>
      <c r="AV10" s="858" t="s">
        <v>36</v>
      </c>
      <c r="AW10" s="872"/>
    </row>
    <row r="11" spans="1:54" s="128" customFormat="1" ht="13.5" customHeight="1" x14ac:dyDescent="0.25">
      <c r="A11" s="854"/>
      <c r="B11" s="854"/>
      <c r="C11" s="854"/>
      <c r="D11" s="854"/>
      <c r="E11" s="854"/>
      <c r="F11" s="854"/>
      <c r="G11" s="854"/>
      <c r="H11" s="854"/>
      <c r="I11" s="854"/>
      <c r="J11" s="854"/>
      <c r="K11" s="854"/>
      <c r="L11" s="854"/>
      <c r="M11" s="869"/>
      <c r="N11" s="854"/>
      <c r="O11" s="869"/>
      <c r="P11" s="854"/>
      <c r="Q11" s="854"/>
      <c r="R11" s="858"/>
      <c r="S11" s="858"/>
      <c r="T11" s="854"/>
      <c r="U11" s="854"/>
      <c r="V11" s="858"/>
      <c r="W11" s="858"/>
      <c r="X11" s="854"/>
      <c r="Y11" s="854"/>
      <c r="Z11" s="858"/>
      <c r="AA11" s="858"/>
      <c r="AB11" s="867"/>
      <c r="AC11" s="867"/>
      <c r="AD11" s="854"/>
      <c r="AE11" s="854"/>
      <c r="AF11" s="858"/>
      <c r="AG11" s="858"/>
      <c r="AH11" s="854"/>
      <c r="AI11" s="854"/>
      <c r="AJ11" s="864"/>
      <c r="AK11" s="856"/>
      <c r="AL11" s="856"/>
      <c r="AM11" s="854"/>
      <c r="AN11" s="854"/>
      <c r="AO11" s="858"/>
      <c r="AP11" s="858"/>
      <c r="AQ11" s="856"/>
      <c r="AR11" s="856"/>
      <c r="AS11" s="854"/>
      <c r="AT11" s="854"/>
      <c r="AU11" s="858"/>
      <c r="AV11" s="858"/>
      <c r="AW11" s="872"/>
    </row>
    <row r="12" spans="1:54" s="128" customFormat="1" ht="30.75" customHeight="1" x14ac:dyDescent="0.25">
      <c r="A12" s="854"/>
      <c r="B12" s="854"/>
      <c r="C12" s="854"/>
      <c r="D12" s="854"/>
      <c r="E12" s="854"/>
      <c r="F12" s="854"/>
      <c r="G12" s="854"/>
      <c r="H12" s="854"/>
      <c r="I12" s="854"/>
      <c r="J12" s="854"/>
      <c r="K12" s="854"/>
      <c r="L12" s="854"/>
      <c r="M12" s="870"/>
      <c r="N12" s="854"/>
      <c r="O12" s="870"/>
      <c r="P12" s="854"/>
      <c r="Q12" s="854"/>
      <c r="R12" s="858"/>
      <c r="S12" s="858"/>
      <c r="T12" s="854"/>
      <c r="U12" s="854"/>
      <c r="V12" s="858"/>
      <c r="W12" s="858"/>
      <c r="X12" s="854"/>
      <c r="Y12" s="854"/>
      <c r="Z12" s="858"/>
      <c r="AA12" s="858"/>
      <c r="AB12" s="867"/>
      <c r="AC12" s="867"/>
      <c r="AD12" s="854"/>
      <c r="AE12" s="854"/>
      <c r="AF12" s="858"/>
      <c r="AG12" s="858"/>
      <c r="AH12" s="854"/>
      <c r="AI12" s="854"/>
      <c r="AJ12" s="865"/>
      <c r="AK12" s="857"/>
      <c r="AL12" s="857"/>
      <c r="AM12" s="854"/>
      <c r="AN12" s="854"/>
      <c r="AO12" s="858"/>
      <c r="AP12" s="858"/>
      <c r="AQ12" s="857"/>
      <c r="AR12" s="857"/>
      <c r="AS12" s="854"/>
      <c r="AT12" s="854"/>
      <c r="AU12" s="858"/>
      <c r="AV12" s="858"/>
      <c r="AW12" s="873"/>
    </row>
    <row r="13" spans="1:54" s="134" customFormat="1" ht="18" customHeight="1" x14ac:dyDescent="0.25">
      <c r="A13" s="132">
        <v>1</v>
      </c>
      <c r="B13" s="132">
        <v>2</v>
      </c>
      <c r="C13" s="132">
        <v>3</v>
      </c>
      <c r="D13" s="132">
        <v>4</v>
      </c>
      <c r="E13" s="132">
        <v>5</v>
      </c>
      <c r="F13" s="132">
        <v>6</v>
      </c>
      <c r="G13" s="132">
        <v>7</v>
      </c>
      <c r="H13" s="132">
        <v>8</v>
      </c>
      <c r="I13" s="132">
        <v>9</v>
      </c>
      <c r="J13" s="132">
        <v>10</v>
      </c>
      <c r="K13" s="132">
        <v>11</v>
      </c>
      <c r="L13" s="132">
        <v>9</v>
      </c>
      <c r="M13" s="132">
        <v>10</v>
      </c>
      <c r="N13" s="132">
        <v>11</v>
      </c>
      <c r="O13" s="132">
        <v>12</v>
      </c>
      <c r="P13" s="132">
        <v>13</v>
      </c>
      <c r="Q13" s="132">
        <v>14</v>
      </c>
      <c r="R13" s="132">
        <v>15</v>
      </c>
      <c r="S13" s="132">
        <v>16</v>
      </c>
      <c r="T13" s="132">
        <v>20</v>
      </c>
      <c r="U13" s="132">
        <v>21</v>
      </c>
      <c r="V13" s="132">
        <v>22</v>
      </c>
      <c r="W13" s="132">
        <v>23</v>
      </c>
      <c r="X13" s="132">
        <v>13</v>
      </c>
      <c r="Y13" s="132">
        <v>14</v>
      </c>
      <c r="Z13" s="132">
        <v>15</v>
      </c>
      <c r="AA13" s="132">
        <v>16</v>
      </c>
      <c r="AB13" s="132">
        <v>28</v>
      </c>
      <c r="AC13" s="132">
        <v>29</v>
      </c>
      <c r="AD13" s="132">
        <v>17</v>
      </c>
      <c r="AE13" s="132">
        <v>18</v>
      </c>
      <c r="AF13" s="132">
        <v>19</v>
      </c>
      <c r="AG13" s="132">
        <v>20</v>
      </c>
      <c r="AH13" s="132">
        <v>21</v>
      </c>
      <c r="AI13" s="132">
        <v>22</v>
      </c>
      <c r="AJ13" s="132">
        <v>23</v>
      </c>
      <c r="AK13" s="132">
        <v>17</v>
      </c>
      <c r="AL13" s="132">
        <v>18</v>
      </c>
      <c r="AM13" s="132">
        <v>13</v>
      </c>
      <c r="AN13" s="132">
        <v>14</v>
      </c>
      <c r="AO13" s="132">
        <v>15</v>
      </c>
      <c r="AP13" s="132">
        <v>16</v>
      </c>
      <c r="AQ13" s="132">
        <v>17</v>
      </c>
      <c r="AR13" s="132">
        <v>18</v>
      </c>
      <c r="AS13" s="132">
        <v>19</v>
      </c>
      <c r="AT13" s="132">
        <v>20</v>
      </c>
      <c r="AU13" s="132">
        <v>21</v>
      </c>
      <c r="AV13" s="132">
        <v>22</v>
      </c>
      <c r="AW13" s="133">
        <v>23</v>
      </c>
      <c r="AX13" s="139">
        <v>2441060</v>
      </c>
      <c r="AY13" s="134">
        <f>AN14+AQ14-AR14</f>
        <v>1119823.2019999998</v>
      </c>
      <c r="AZ13" s="134">
        <f>AT14-AY13</f>
        <v>111.80600000009872</v>
      </c>
    </row>
    <row r="14" spans="1:54" s="140" customFormat="1" ht="43.5" customHeight="1" x14ac:dyDescent="0.25">
      <c r="A14" s="135"/>
      <c r="B14" s="136" t="s">
        <v>37</v>
      </c>
      <c r="C14" s="137"/>
      <c r="D14" s="137"/>
      <c r="E14" s="137"/>
      <c r="F14" s="137"/>
      <c r="G14" s="116">
        <f>+G15</f>
        <v>1769919.4835109999</v>
      </c>
      <c r="H14" s="116">
        <f t="shared" ref="H14:AV14" si="0">+H15</f>
        <v>1531010.8095110001</v>
      </c>
      <c r="I14" s="116" t="e">
        <f t="shared" si="0"/>
        <v>#REF!</v>
      </c>
      <c r="J14" s="116" t="e">
        <f t="shared" si="0"/>
        <v>#REF!</v>
      </c>
      <c r="K14" s="116" t="e">
        <f t="shared" si="0"/>
        <v>#REF!</v>
      </c>
      <c r="L14" s="116">
        <f t="shared" si="0"/>
        <v>409502.00899999996</v>
      </c>
      <c r="M14" s="116">
        <f t="shared" si="0"/>
        <v>256553.00899999999</v>
      </c>
      <c r="N14" s="116">
        <f t="shared" si="0"/>
        <v>254144.05599999998</v>
      </c>
      <c r="O14" s="116">
        <f t="shared" si="0"/>
        <v>240227.603</v>
      </c>
      <c r="P14" s="116">
        <f t="shared" si="0"/>
        <v>840354.26751100004</v>
      </c>
      <c r="Q14" s="116">
        <f t="shared" si="0"/>
        <v>811885.26751100004</v>
      </c>
      <c r="R14" s="116">
        <f t="shared" si="0"/>
        <v>0</v>
      </c>
      <c r="S14" s="116">
        <f t="shared" si="0"/>
        <v>0</v>
      </c>
      <c r="T14" s="116">
        <f t="shared" si="0"/>
        <v>586276.26751100004</v>
      </c>
      <c r="U14" s="116">
        <f t="shared" si="0"/>
        <v>561419.26751100004</v>
      </c>
      <c r="V14" s="116">
        <f t="shared" si="0"/>
        <v>0</v>
      </c>
      <c r="W14" s="116">
        <f t="shared" si="0"/>
        <v>0</v>
      </c>
      <c r="X14" s="116">
        <f t="shared" si="0"/>
        <v>883274</v>
      </c>
      <c r="Y14" s="116">
        <f t="shared" si="0"/>
        <v>842686</v>
      </c>
      <c r="Z14" s="116">
        <f t="shared" si="0"/>
        <v>108715</v>
      </c>
      <c r="AA14" s="116">
        <f t="shared" si="0"/>
        <v>8699</v>
      </c>
      <c r="AB14" s="116">
        <f t="shared" si="0"/>
        <v>28680</v>
      </c>
      <c r="AC14" s="116">
        <f t="shared" si="0"/>
        <v>-8179.2580000000016</v>
      </c>
      <c r="AD14" s="116">
        <f t="shared" si="0"/>
        <v>159225</v>
      </c>
      <c r="AE14" s="116">
        <f t="shared" si="0"/>
        <v>155225</v>
      </c>
      <c r="AF14" s="116">
        <f t="shared" si="0"/>
        <v>0</v>
      </c>
      <c r="AG14" s="116">
        <f t="shared" si="0"/>
        <v>0</v>
      </c>
      <c r="AH14" s="116">
        <f t="shared" si="0"/>
        <v>149129.79999999999</v>
      </c>
      <c r="AI14" s="116">
        <f t="shared" si="0"/>
        <v>143391.79999999999</v>
      </c>
      <c r="AJ14" s="116">
        <f t="shared" si="0"/>
        <v>3699</v>
      </c>
      <c r="AK14" s="116">
        <f t="shared" si="0"/>
        <v>54052.040999999997</v>
      </c>
      <c r="AL14" s="116">
        <f t="shared" si="0"/>
        <v>30300.720999999998</v>
      </c>
      <c r="AM14" s="116">
        <f t="shared" si="0"/>
        <v>929826.57400000002</v>
      </c>
      <c r="AN14" s="116">
        <f t="shared" si="0"/>
        <v>880960.26199999999</v>
      </c>
      <c r="AO14" s="116">
        <f t="shared" si="0"/>
        <v>105170.9</v>
      </c>
      <c r="AP14" s="116">
        <f t="shared" si="0"/>
        <v>3699</v>
      </c>
      <c r="AQ14" s="116">
        <f t="shared" si="0"/>
        <v>257012.8</v>
      </c>
      <c r="AR14" s="116">
        <f t="shared" si="0"/>
        <v>18149.859999999997</v>
      </c>
      <c r="AS14" s="116">
        <f t="shared" si="0"/>
        <v>1183660.3199999998</v>
      </c>
      <c r="AT14" s="116">
        <f t="shared" si="0"/>
        <v>1119935.0079999999</v>
      </c>
      <c r="AU14" s="116">
        <f t="shared" si="0"/>
        <v>105075.2</v>
      </c>
      <c r="AV14" s="116">
        <f t="shared" si="0"/>
        <v>3699</v>
      </c>
      <c r="AW14" s="138"/>
      <c r="AX14" s="401">
        <f>AT14-AX13</f>
        <v>-1321124.9920000001</v>
      </c>
      <c r="AY14" s="140">
        <f>AT14-AN14</f>
        <v>238974.74599999993</v>
      </c>
    </row>
    <row r="15" spans="1:54" s="14" customFormat="1" ht="72.75" customHeight="1" x14ac:dyDescent="0.25">
      <c r="A15" s="111"/>
      <c r="B15" s="112" t="s">
        <v>682</v>
      </c>
      <c r="C15" s="57"/>
      <c r="D15" s="57"/>
      <c r="E15" s="57"/>
      <c r="F15" s="57"/>
      <c r="G15" s="116">
        <f>G16</f>
        <v>1769919.4835109999</v>
      </c>
      <c r="H15" s="116">
        <f t="shared" ref="H15:AV15" si="1">H16</f>
        <v>1531010.8095110001</v>
      </c>
      <c r="I15" s="116" t="e">
        <f t="shared" si="1"/>
        <v>#REF!</v>
      </c>
      <c r="J15" s="116" t="e">
        <f t="shared" si="1"/>
        <v>#REF!</v>
      </c>
      <c r="K15" s="116" t="e">
        <f t="shared" si="1"/>
        <v>#REF!</v>
      </c>
      <c r="L15" s="116">
        <f t="shared" si="1"/>
        <v>409502.00899999996</v>
      </c>
      <c r="M15" s="116">
        <f t="shared" si="1"/>
        <v>256553.00899999999</v>
      </c>
      <c r="N15" s="116">
        <f t="shared" si="1"/>
        <v>254144.05599999998</v>
      </c>
      <c r="O15" s="116">
        <f t="shared" si="1"/>
        <v>240227.603</v>
      </c>
      <c r="P15" s="116">
        <f t="shared" si="1"/>
        <v>840354.26751100004</v>
      </c>
      <c r="Q15" s="116">
        <f t="shared" si="1"/>
        <v>811885.26751100004</v>
      </c>
      <c r="R15" s="116">
        <f t="shared" si="1"/>
        <v>0</v>
      </c>
      <c r="S15" s="116">
        <f t="shared" si="1"/>
        <v>0</v>
      </c>
      <c r="T15" s="116">
        <f t="shared" si="1"/>
        <v>586276.26751100004</v>
      </c>
      <c r="U15" s="116">
        <f t="shared" si="1"/>
        <v>561419.26751100004</v>
      </c>
      <c r="V15" s="116">
        <f t="shared" si="1"/>
        <v>0</v>
      </c>
      <c r="W15" s="116">
        <f t="shared" si="1"/>
        <v>0</v>
      </c>
      <c r="X15" s="116">
        <f t="shared" si="1"/>
        <v>883274</v>
      </c>
      <c r="Y15" s="116">
        <f t="shared" si="1"/>
        <v>842686</v>
      </c>
      <c r="Z15" s="116">
        <f t="shared" si="1"/>
        <v>108715</v>
      </c>
      <c r="AA15" s="116">
        <f t="shared" si="1"/>
        <v>8699</v>
      </c>
      <c r="AB15" s="116">
        <f t="shared" si="1"/>
        <v>28680</v>
      </c>
      <c r="AC15" s="116">
        <f t="shared" si="1"/>
        <v>-8179.2580000000016</v>
      </c>
      <c r="AD15" s="116">
        <f t="shared" si="1"/>
        <v>159225</v>
      </c>
      <c r="AE15" s="116">
        <f t="shared" si="1"/>
        <v>155225</v>
      </c>
      <c r="AF15" s="116">
        <f t="shared" si="1"/>
        <v>0</v>
      </c>
      <c r="AG15" s="116">
        <f t="shared" si="1"/>
        <v>0</v>
      </c>
      <c r="AH15" s="116">
        <f t="shared" si="1"/>
        <v>149129.79999999999</v>
      </c>
      <c r="AI15" s="116">
        <f t="shared" si="1"/>
        <v>143391.79999999999</v>
      </c>
      <c r="AJ15" s="116">
        <f t="shared" si="1"/>
        <v>3699</v>
      </c>
      <c r="AK15" s="116">
        <f t="shared" si="1"/>
        <v>54052.040999999997</v>
      </c>
      <c r="AL15" s="116">
        <f t="shared" si="1"/>
        <v>30300.720999999998</v>
      </c>
      <c r="AM15" s="116">
        <f t="shared" si="1"/>
        <v>929826.57400000002</v>
      </c>
      <c r="AN15" s="116">
        <f t="shared" si="1"/>
        <v>880960.26199999999</v>
      </c>
      <c r="AO15" s="116">
        <f t="shared" si="1"/>
        <v>105170.9</v>
      </c>
      <c r="AP15" s="116">
        <f t="shared" si="1"/>
        <v>3699</v>
      </c>
      <c r="AQ15" s="116">
        <f t="shared" si="1"/>
        <v>257012.8</v>
      </c>
      <c r="AR15" s="116">
        <f t="shared" si="1"/>
        <v>18149.859999999997</v>
      </c>
      <c r="AS15" s="116">
        <f t="shared" si="1"/>
        <v>1183660.3199999998</v>
      </c>
      <c r="AT15" s="116">
        <f t="shared" si="1"/>
        <v>1119935.0079999999</v>
      </c>
      <c r="AU15" s="116">
        <f t="shared" si="1"/>
        <v>105075.2</v>
      </c>
      <c r="AV15" s="116">
        <f t="shared" si="1"/>
        <v>3699</v>
      </c>
      <c r="AW15" s="113"/>
      <c r="AX15" s="339">
        <f>AN15+AQ15-AR15</f>
        <v>1119823.2019999998</v>
      </c>
      <c r="AY15" s="390">
        <v>6130</v>
      </c>
    </row>
    <row r="16" spans="1:54" s="14" customFormat="1" ht="57.75" customHeight="1" x14ac:dyDescent="0.25">
      <c r="A16" s="114" t="s">
        <v>647</v>
      </c>
      <c r="B16" s="115" t="s">
        <v>644</v>
      </c>
      <c r="C16" s="57"/>
      <c r="D16" s="57"/>
      <c r="E16" s="57"/>
      <c r="F16" s="57"/>
      <c r="G16" s="116">
        <f t="shared" ref="G16:AV16" si="2">G17+G20+G237</f>
        <v>1769919.4835109999</v>
      </c>
      <c r="H16" s="116">
        <f t="shared" si="2"/>
        <v>1531010.8095110001</v>
      </c>
      <c r="I16" s="116" t="e">
        <f t="shared" si="2"/>
        <v>#REF!</v>
      </c>
      <c r="J16" s="116" t="e">
        <f t="shared" si="2"/>
        <v>#REF!</v>
      </c>
      <c r="K16" s="116" t="e">
        <f t="shared" si="2"/>
        <v>#REF!</v>
      </c>
      <c r="L16" s="116">
        <f t="shared" si="2"/>
        <v>409502.00899999996</v>
      </c>
      <c r="M16" s="116">
        <f t="shared" si="2"/>
        <v>256553.00899999999</v>
      </c>
      <c r="N16" s="116">
        <f t="shared" si="2"/>
        <v>254144.05599999998</v>
      </c>
      <c r="O16" s="116">
        <f t="shared" si="2"/>
        <v>240227.603</v>
      </c>
      <c r="P16" s="116">
        <f t="shared" si="2"/>
        <v>840354.26751100004</v>
      </c>
      <c r="Q16" s="116">
        <f t="shared" si="2"/>
        <v>811885.26751100004</v>
      </c>
      <c r="R16" s="116">
        <f t="shared" si="2"/>
        <v>0</v>
      </c>
      <c r="S16" s="116">
        <f t="shared" si="2"/>
        <v>0</v>
      </c>
      <c r="T16" s="116">
        <f t="shared" si="2"/>
        <v>586276.26751100004</v>
      </c>
      <c r="U16" s="116">
        <f t="shared" si="2"/>
        <v>561419.26751100004</v>
      </c>
      <c r="V16" s="116">
        <f t="shared" si="2"/>
        <v>0</v>
      </c>
      <c r="W16" s="116">
        <f t="shared" si="2"/>
        <v>0</v>
      </c>
      <c r="X16" s="116">
        <f t="shared" si="2"/>
        <v>883274</v>
      </c>
      <c r="Y16" s="116">
        <f t="shared" si="2"/>
        <v>842686</v>
      </c>
      <c r="Z16" s="116">
        <f t="shared" si="2"/>
        <v>108715</v>
      </c>
      <c r="AA16" s="116">
        <f t="shared" si="2"/>
        <v>8699</v>
      </c>
      <c r="AB16" s="116">
        <f t="shared" si="2"/>
        <v>28680</v>
      </c>
      <c r="AC16" s="116">
        <f t="shared" si="2"/>
        <v>-8179.2580000000016</v>
      </c>
      <c r="AD16" s="116">
        <f t="shared" si="2"/>
        <v>159225</v>
      </c>
      <c r="AE16" s="116">
        <f t="shared" si="2"/>
        <v>155225</v>
      </c>
      <c r="AF16" s="116">
        <f t="shared" si="2"/>
        <v>0</v>
      </c>
      <c r="AG16" s="116">
        <f t="shared" si="2"/>
        <v>0</v>
      </c>
      <c r="AH16" s="116">
        <f t="shared" si="2"/>
        <v>149129.79999999999</v>
      </c>
      <c r="AI16" s="116">
        <f t="shared" si="2"/>
        <v>143391.79999999999</v>
      </c>
      <c r="AJ16" s="116">
        <f t="shared" si="2"/>
        <v>3699</v>
      </c>
      <c r="AK16" s="116">
        <f t="shared" si="2"/>
        <v>54052.040999999997</v>
      </c>
      <c r="AL16" s="116">
        <f t="shared" si="2"/>
        <v>30300.720999999998</v>
      </c>
      <c r="AM16" s="116">
        <f t="shared" si="2"/>
        <v>929826.57400000002</v>
      </c>
      <c r="AN16" s="116">
        <f t="shared" si="2"/>
        <v>880960.26199999999</v>
      </c>
      <c r="AO16" s="116">
        <f t="shared" si="2"/>
        <v>105170.9</v>
      </c>
      <c r="AP16" s="116">
        <f t="shared" si="2"/>
        <v>3699</v>
      </c>
      <c r="AQ16" s="116">
        <f t="shared" si="2"/>
        <v>257012.8</v>
      </c>
      <c r="AR16" s="116">
        <f t="shared" si="2"/>
        <v>18149.859999999997</v>
      </c>
      <c r="AS16" s="116">
        <f t="shared" si="2"/>
        <v>1183660.3199999998</v>
      </c>
      <c r="AT16" s="116">
        <f t="shared" si="2"/>
        <v>1119935.0079999999</v>
      </c>
      <c r="AU16" s="116">
        <f t="shared" si="2"/>
        <v>105075.2</v>
      </c>
      <c r="AV16" s="116">
        <f t="shared" si="2"/>
        <v>3699</v>
      </c>
      <c r="AW16" s="413"/>
      <c r="AX16" s="339">
        <f>AN16+AQ16-AR16</f>
        <v>1119823.2019999998</v>
      </c>
      <c r="AY16" s="117">
        <f>AW16-AX16</f>
        <v>-1119823.2019999998</v>
      </c>
    </row>
    <row r="17" spans="1:55" s="14" customFormat="1" ht="36.75" customHeight="1" x14ac:dyDescent="0.25">
      <c r="A17" s="111" t="s">
        <v>92</v>
      </c>
      <c r="B17" s="152" t="s">
        <v>94</v>
      </c>
      <c r="C17" s="57"/>
      <c r="D17" s="57"/>
      <c r="E17" s="57"/>
      <c r="F17" s="153"/>
      <c r="G17" s="37">
        <f>G18+G19</f>
        <v>0</v>
      </c>
      <c r="H17" s="37">
        <f t="shared" ref="H17:AV17" si="3">H18+H19</f>
        <v>0</v>
      </c>
      <c r="I17" s="37">
        <f t="shared" si="3"/>
        <v>0</v>
      </c>
      <c r="J17" s="37">
        <f t="shared" si="3"/>
        <v>0</v>
      </c>
      <c r="K17" s="37">
        <f t="shared" si="3"/>
        <v>0</v>
      </c>
      <c r="L17" s="37">
        <f t="shared" si="3"/>
        <v>0</v>
      </c>
      <c r="M17" s="37">
        <f t="shared" si="3"/>
        <v>0</v>
      </c>
      <c r="N17" s="37">
        <f t="shared" si="3"/>
        <v>0</v>
      </c>
      <c r="O17" s="37">
        <f t="shared" si="3"/>
        <v>0</v>
      </c>
      <c r="P17" s="37">
        <f t="shared" si="3"/>
        <v>108715</v>
      </c>
      <c r="Q17" s="37">
        <f t="shared" si="3"/>
        <v>108715</v>
      </c>
      <c r="R17" s="37">
        <f t="shared" si="3"/>
        <v>0</v>
      </c>
      <c r="S17" s="37">
        <f t="shared" si="3"/>
        <v>0</v>
      </c>
      <c r="T17" s="37">
        <f t="shared" si="3"/>
        <v>0</v>
      </c>
      <c r="U17" s="37">
        <f t="shared" si="3"/>
        <v>0</v>
      </c>
      <c r="V17" s="37">
        <f t="shared" si="3"/>
        <v>0</v>
      </c>
      <c r="W17" s="37">
        <f t="shared" si="3"/>
        <v>0</v>
      </c>
      <c r="X17" s="37">
        <f>X18+X19</f>
        <v>108715</v>
      </c>
      <c r="Y17" s="37">
        <f t="shared" si="3"/>
        <v>108715</v>
      </c>
      <c r="Z17" s="37">
        <f t="shared" si="3"/>
        <v>108715</v>
      </c>
      <c r="AA17" s="37">
        <f t="shared" si="3"/>
        <v>0</v>
      </c>
      <c r="AB17" s="37">
        <f t="shared" si="3"/>
        <v>0</v>
      </c>
      <c r="AC17" s="37">
        <f t="shared" si="3"/>
        <v>0</v>
      </c>
      <c r="AD17" s="37">
        <f t="shared" si="3"/>
        <v>0</v>
      </c>
      <c r="AE17" s="37">
        <f t="shared" si="3"/>
        <v>0</v>
      </c>
      <c r="AF17" s="37">
        <f t="shared" si="3"/>
        <v>0</v>
      </c>
      <c r="AG17" s="37">
        <f t="shared" si="3"/>
        <v>0</v>
      </c>
      <c r="AH17" s="37">
        <f t="shared" si="3"/>
        <v>22000</v>
      </c>
      <c r="AI17" s="37">
        <f t="shared" si="3"/>
        <v>22000</v>
      </c>
      <c r="AJ17" s="37">
        <f t="shared" si="3"/>
        <v>0</v>
      </c>
      <c r="AK17" s="37">
        <f t="shared" si="3"/>
        <v>0</v>
      </c>
      <c r="AL17" s="37">
        <f t="shared" si="3"/>
        <v>3544.0999999999995</v>
      </c>
      <c r="AM17" s="38">
        <f t="shared" si="3"/>
        <v>105170.9</v>
      </c>
      <c r="AN17" s="38">
        <f t="shared" si="3"/>
        <v>105170.9</v>
      </c>
      <c r="AO17" s="38">
        <f t="shared" si="3"/>
        <v>105170.9</v>
      </c>
      <c r="AP17" s="38">
        <f t="shared" si="3"/>
        <v>0</v>
      </c>
      <c r="AQ17" s="38">
        <f t="shared" si="3"/>
        <v>0</v>
      </c>
      <c r="AR17" s="38">
        <f t="shared" si="3"/>
        <v>95.7</v>
      </c>
      <c r="AS17" s="38">
        <f t="shared" si="3"/>
        <v>105075.2</v>
      </c>
      <c r="AT17" s="38">
        <f t="shared" si="3"/>
        <v>105075.2</v>
      </c>
      <c r="AU17" s="38">
        <f t="shared" si="3"/>
        <v>105075.2</v>
      </c>
      <c r="AV17" s="38">
        <f t="shared" si="3"/>
        <v>0</v>
      </c>
      <c r="AW17" s="413"/>
      <c r="AX17" s="339"/>
      <c r="AY17" s="117">
        <f>AY15-AY16</f>
        <v>1125953.2019999998</v>
      </c>
    </row>
    <row r="18" spans="1:55" ht="31.5" customHeight="1" x14ac:dyDescent="0.25">
      <c r="A18" s="145"/>
      <c r="B18" s="155" t="s">
        <v>95</v>
      </c>
      <c r="C18" s="41"/>
      <c r="D18" s="41"/>
      <c r="E18" s="41"/>
      <c r="F18" s="41"/>
      <c r="G18" s="65"/>
      <c r="H18" s="65"/>
      <c r="I18" s="65"/>
      <c r="J18" s="65"/>
      <c r="K18" s="65"/>
      <c r="L18" s="65"/>
      <c r="M18" s="65"/>
      <c r="N18" s="65"/>
      <c r="O18" s="65"/>
      <c r="P18" s="65">
        <f>Q18</f>
        <v>100000</v>
      </c>
      <c r="Q18" s="65">
        <v>100000</v>
      </c>
      <c r="R18" s="65"/>
      <c r="S18" s="65"/>
      <c r="T18" s="65"/>
      <c r="U18" s="65"/>
      <c r="V18" s="65"/>
      <c r="W18" s="65"/>
      <c r="X18" s="65">
        <f>Y18</f>
        <v>100000</v>
      </c>
      <c r="Y18" s="65">
        <v>100000</v>
      </c>
      <c r="Z18" s="65">
        <f>Y18</f>
        <v>100000</v>
      </c>
      <c r="AA18" s="65"/>
      <c r="AB18" s="65"/>
      <c r="AC18" s="65"/>
      <c r="AD18" s="65"/>
      <c r="AE18" s="65"/>
      <c r="AF18" s="65"/>
      <c r="AG18" s="65"/>
      <c r="AH18" s="65">
        <f>+AI18</f>
        <v>20000</v>
      </c>
      <c r="AI18" s="65">
        <v>20000</v>
      </c>
      <c r="AJ18" s="65"/>
      <c r="AK18" s="65"/>
      <c r="AL18" s="65">
        <v>3426.8</v>
      </c>
      <c r="AM18" s="17">
        <f>AN18</f>
        <v>96573.2</v>
      </c>
      <c r="AN18" s="17">
        <f>Y18-AL18</f>
        <v>96573.2</v>
      </c>
      <c r="AO18" s="17">
        <f>AN18</f>
        <v>96573.2</v>
      </c>
      <c r="AP18" s="65"/>
      <c r="AQ18" s="65"/>
      <c r="AR18" s="65"/>
      <c r="AS18" s="394">
        <f>AT18</f>
        <v>96573.2</v>
      </c>
      <c r="AT18" s="394">
        <f>AU18</f>
        <v>96573.2</v>
      </c>
      <c r="AU18" s="394">
        <f>AO18-AR18</f>
        <v>96573.2</v>
      </c>
      <c r="AV18" s="65"/>
      <c r="AW18" s="147"/>
      <c r="AX18" s="139"/>
      <c r="BA18" s="119">
        <f>AL15-AK15</f>
        <v>-23751.32</v>
      </c>
      <c r="BB18" s="14"/>
      <c r="BC18" s="14"/>
    </row>
    <row r="19" spans="1:55" ht="31.5" customHeight="1" x14ac:dyDescent="0.25">
      <c r="A19" s="145"/>
      <c r="B19" s="155" t="s">
        <v>96</v>
      </c>
      <c r="C19" s="41"/>
      <c r="D19" s="41"/>
      <c r="E19" s="41"/>
      <c r="F19" s="41"/>
      <c r="G19" s="65"/>
      <c r="H19" s="65"/>
      <c r="I19" s="65"/>
      <c r="J19" s="65"/>
      <c r="K19" s="65"/>
      <c r="L19" s="65"/>
      <c r="M19" s="65"/>
      <c r="N19" s="65"/>
      <c r="O19" s="65"/>
      <c r="P19" s="65">
        <f>Q19</f>
        <v>8715</v>
      </c>
      <c r="Q19" s="65">
        <v>8715</v>
      </c>
      <c r="R19" s="65"/>
      <c r="S19" s="65"/>
      <c r="T19" s="65"/>
      <c r="U19" s="65"/>
      <c r="V19" s="65"/>
      <c r="W19" s="65"/>
      <c r="X19" s="65">
        <f>Y19</f>
        <v>8715</v>
      </c>
      <c r="Y19" s="65">
        <v>8715</v>
      </c>
      <c r="Z19" s="65">
        <f>Y19</f>
        <v>8715</v>
      </c>
      <c r="AA19" s="65"/>
      <c r="AB19" s="65"/>
      <c r="AC19" s="65"/>
      <c r="AD19" s="65"/>
      <c r="AE19" s="65"/>
      <c r="AF19" s="65"/>
      <c r="AG19" s="65"/>
      <c r="AH19" s="65">
        <f>+AI19</f>
        <v>2000</v>
      </c>
      <c r="AI19" s="65">
        <v>2000</v>
      </c>
      <c r="AJ19" s="65"/>
      <c r="AK19" s="65"/>
      <c r="AL19" s="65">
        <f>Z19-AN19</f>
        <v>117.29999999999927</v>
      </c>
      <c r="AM19" s="17">
        <f>AN19</f>
        <v>8597.7000000000007</v>
      </c>
      <c r="AN19" s="17">
        <v>8597.7000000000007</v>
      </c>
      <c r="AO19" s="17">
        <f>AN19</f>
        <v>8597.7000000000007</v>
      </c>
      <c r="AP19" s="65"/>
      <c r="AQ19" s="65"/>
      <c r="AR19" s="341">
        <v>95.7</v>
      </c>
      <c r="AS19" s="26">
        <f>AT19</f>
        <v>8502</v>
      </c>
      <c r="AT19" s="26">
        <f>AU19</f>
        <v>8502</v>
      </c>
      <c r="AU19" s="26">
        <f>AO19-AR19</f>
        <v>8502</v>
      </c>
      <c r="AV19" s="65"/>
      <c r="AW19" s="147"/>
      <c r="AX19" s="139"/>
      <c r="AY19" s="117"/>
      <c r="BB19" s="14"/>
      <c r="BC19" s="14"/>
    </row>
    <row r="20" spans="1:55" s="14" customFormat="1" ht="38.25" customHeight="1" x14ac:dyDescent="0.25">
      <c r="A20" s="111" t="s">
        <v>533</v>
      </c>
      <c r="B20" s="156" t="s">
        <v>97</v>
      </c>
      <c r="C20" s="57"/>
      <c r="D20" s="57"/>
      <c r="E20" s="57"/>
      <c r="F20" s="57"/>
      <c r="G20" s="38">
        <f t="shared" ref="G20:AV20" si="4">G21+G189</f>
        <v>1195183.4835109999</v>
      </c>
      <c r="H20" s="38">
        <f t="shared" si="4"/>
        <v>999215.80951100006</v>
      </c>
      <c r="I20" s="38" t="e">
        <f t="shared" si="4"/>
        <v>#REF!</v>
      </c>
      <c r="J20" s="38" t="e">
        <f t="shared" si="4"/>
        <v>#REF!</v>
      </c>
      <c r="K20" s="38" t="e">
        <f t="shared" si="4"/>
        <v>#REF!</v>
      </c>
      <c r="L20" s="38">
        <f t="shared" si="4"/>
        <v>409502.00899999996</v>
      </c>
      <c r="M20" s="38">
        <f t="shared" si="4"/>
        <v>256553.00899999999</v>
      </c>
      <c r="N20" s="38">
        <f t="shared" si="4"/>
        <v>251444.05599999998</v>
      </c>
      <c r="O20" s="38">
        <f t="shared" si="4"/>
        <v>237527.603</v>
      </c>
      <c r="P20" s="38">
        <f t="shared" si="4"/>
        <v>731639.26751100004</v>
      </c>
      <c r="Q20" s="38">
        <f t="shared" si="4"/>
        <v>703170.26751100004</v>
      </c>
      <c r="R20" s="38">
        <f t="shared" si="4"/>
        <v>0</v>
      </c>
      <c r="S20" s="38">
        <f t="shared" si="4"/>
        <v>0</v>
      </c>
      <c r="T20" s="38">
        <f t="shared" si="4"/>
        <v>586276.26751100004</v>
      </c>
      <c r="U20" s="38">
        <f t="shared" si="4"/>
        <v>561419.26751100004</v>
      </c>
      <c r="V20" s="38">
        <f t="shared" si="4"/>
        <v>0</v>
      </c>
      <c r="W20" s="38">
        <f t="shared" si="4"/>
        <v>0</v>
      </c>
      <c r="X20" s="38">
        <f t="shared" si="4"/>
        <v>774559</v>
      </c>
      <c r="Y20" s="38">
        <f t="shared" si="4"/>
        <v>733971</v>
      </c>
      <c r="Z20" s="38">
        <f t="shared" si="4"/>
        <v>0</v>
      </c>
      <c r="AA20" s="38">
        <f t="shared" si="4"/>
        <v>8699</v>
      </c>
      <c r="AB20" s="38">
        <f t="shared" si="4"/>
        <v>28680</v>
      </c>
      <c r="AC20" s="38">
        <f t="shared" si="4"/>
        <v>-8179.2580000000016</v>
      </c>
      <c r="AD20" s="38">
        <f t="shared" si="4"/>
        <v>159225</v>
      </c>
      <c r="AE20" s="38">
        <f t="shared" si="4"/>
        <v>155225</v>
      </c>
      <c r="AF20" s="38">
        <f t="shared" si="4"/>
        <v>0</v>
      </c>
      <c r="AG20" s="38">
        <f t="shared" si="4"/>
        <v>0</v>
      </c>
      <c r="AH20" s="38">
        <f t="shared" si="4"/>
        <v>127129.8</v>
      </c>
      <c r="AI20" s="38">
        <f t="shared" si="4"/>
        <v>121391.8</v>
      </c>
      <c r="AJ20" s="38">
        <f t="shared" si="4"/>
        <v>3699</v>
      </c>
      <c r="AK20" s="38">
        <f t="shared" si="4"/>
        <v>54052.040999999997</v>
      </c>
      <c r="AL20" s="38">
        <f t="shared" si="4"/>
        <v>26756.620999999999</v>
      </c>
      <c r="AM20" s="38">
        <f t="shared" si="4"/>
        <v>824655.674</v>
      </c>
      <c r="AN20" s="38">
        <f t="shared" si="4"/>
        <v>775789.36199999996</v>
      </c>
      <c r="AO20" s="38">
        <f t="shared" si="4"/>
        <v>0</v>
      </c>
      <c r="AP20" s="38">
        <f t="shared" si="4"/>
        <v>3699</v>
      </c>
      <c r="AQ20" s="38">
        <f t="shared" si="4"/>
        <v>742.5</v>
      </c>
      <c r="AR20" s="38">
        <f t="shared" si="4"/>
        <v>18054.159999999996</v>
      </c>
      <c r="AS20" s="38">
        <f t="shared" si="4"/>
        <v>802068.82</v>
      </c>
      <c r="AT20" s="38">
        <f>AT21+AT189</f>
        <v>758589.50799999991</v>
      </c>
      <c r="AU20" s="38">
        <f t="shared" si="4"/>
        <v>0</v>
      </c>
      <c r="AV20" s="38">
        <f t="shared" si="4"/>
        <v>3699</v>
      </c>
      <c r="AW20" s="141" t="s">
        <v>643</v>
      </c>
      <c r="AX20" s="339"/>
      <c r="AY20" s="117"/>
    </row>
    <row r="21" spans="1:55" s="14" customFormat="1" ht="27" customHeight="1" x14ac:dyDescent="0.25">
      <c r="A21" s="111" t="s">
        <v>645</v>
      </c>
      <c r="B21" s="156" t="s">
        <v>93</v>
      </c>
      <c r="C21" s="57"/>
      <c r="D21" s="57"/>
      <c r="E21" s="57"/>
      <c r="F21" s="57"/>
      <c r="G21" s="38">
        <f t="shared" ref="G21:AV21" si="5">G22+G58+G87+G116+G160</f>
        <v>999129.48351100006</v>
      </c>
      <c r="H21" s="38">
        <f t="shared" si="5"/>
        <v>806782.30951100006</v>
      </c>
      <c r="I21" s="38" t="e">
        <f t="shared" si="5"/>
        <v>#REF!</v>
      </c>
      <c r="J21" s="38" t="e">
        <f t="shared" si="5"/>
        <v>#REF!</v>
      </c>
      <c r="K21" s="38" t="e">
        <f t="shared" si="5"/>
        <v>#REF!</v>
      </c>
      <c r="L21" s="38">
        <f t="shared" si="5"/>
        <v>391502.00899999996</v>
      </c>
      <c r="M21" s="38">
        <f t="shared" si="5"/>
        <v>238553.00899999999</v>
      </c>
      <c r="N21" s="38">
        <f t="shared" si="5"/>
        <v>233444.05599999998</v>
      </c>
      <c r="O21" s="38">
        <f t="shared" si="5"/>
        <v>219527.603</v>
      </c>
      <c r="P21" s="38">
        <f t="shared" si="5"/>
        <v>731639.26751100004</v>
      </c>
      <c r="Q21" s="38">
        <f t="shared" si="5"/>
        <v>703170.26751100004</v>
      </c>
      <c r="R21" s="38">
        <f t="shared" si="5"/>
        <v>0</v>
      </c>
      <c r="S21" s="38">
        <f t="shared" si="5"/>
        <v>0</v>
      </c>
      <c r="T21" s="38">
        <f t="shared" si="5"/>
        <v>586276.26751100004</v>
      </c>
      <c r="U21" s="38">
        <f t="shared" si="5"/>
        <v>561419.26751100004</v>
      </c>
      <c r="V21" s="38">
        <f t="shared" si="5"/>
        <v>0</v>
      </c>
      <c r="W21" s="38">
        <f t="shared" si="5"/>
        <v>0</v>
      </c>
      <c r="X21" s="38">
        <f t="shared" si="5"/>
        <v>606413</v>
      </c>
      <c r="Y21" s="38">
        <f t="shared" si="5"/>
        <v>570325</v>
      </c>
      <c r="Z21" s="38">
        <f t="shared" si="5"/>
        <v>0</v>
      </c>
      <c r="AA21" s="38">
        <f t="shared" si="5"/>
        <v>8699</v>
      </c>
      <c r="AB21" s="38">
        <f t="shared" si="5"/>
        <v>28680</v>
      </c>
      <c r="AC21" s="38">
        <f t="shared" si="5"/>
        <v>-8179.2580000000016</v>
      </c>
      <c r="AD21" s="38">
        <f t="shared" si="5"/>
        <v>130103</v>
      </c>
      <c r="AE21" s="38">
        <f t="shared" si="5"/>
        <v>126103</v>
      </c>
      <c r="AF21" s="38">
        <f t="shared" si="5"/>
        <v>0</v>
      </c>
      <c r="AG21" s="38">
        <f t="shared" si="5"/>
        <v>0</v>
      </c>
      <c r="AH21" s="38">
        <f t="shared" si="5"/>
        <v>100435</v>
      </c>
      <c r="AI21" s="38">
        <f t="shared" si="5"/>
        <v>94697</v>
      </c>
      <c r="AJ21" s="38">
        <f t="shared" si="5"/>
        <v>3699</v>
      </c>
      <c r="AK21" s="38">
        <f t="shared" si="5"/>
        <v>42552.040999999997</v>
      </c>
      <c r="AL21" s="38">
        <f t="shared" si="5"/>
        <v>18257.940999999999</v>
      </c>
      <c r="AM21" s="38">
        <f t="shared" si="5"/>
        <v>654017.27399999998</v>
      </c>
      <c r="AN21" s="38">
        <f t="shared" si="5"/>
        <v>605189.1</v>
      </c>
      <c r="AO21" s="38">
        <f t="shared" si="5"/>
        <v>0</v>
      </c>
      <c r="AP21" s="38">
        <f t="shared" si="5"/>
        <v>3699</v>
      </c>
      <c r="AQ21" s="38">
        <f t="shared" si="5"/>
        <v>742.5</v>
      </c>
      <c r="AR21" s="38">
        <f t="shared" si="5"/>
        <v>18054.159999999996</v>
      </c>
      <c r="AS21" s="38">
        <f t="shared" si="5"/>
        <v>621925.41999999993</v>
      </c>
      <c r="AT21" s="38">
        <f>AT22+AT58+AT87+AT116+AT160</f>
        <v>587989.24599999993</v>
      </c>
      <c r="AU21" s="38">
        <f t="shared" si="5"/>
        <v>0</v>
      </c>
      <c r="AV21" s="38">
        <f t="shared" si="5"/>
        <v>3699</v>
      </c>
      <c r="AW21" s="41"/>
      <c r="AX21" s="339"/>
      <c r="AY21" s="157"/>
      <c r="AZ21" s="154"/>
    </row>
    <row r="22" spans="1:55" s="14" customFormat="1" ht="27.6" customHeight="1" x14ac:dyDescent="0.25">
      <c r="A22" s="859" t="s">
        <v>99</v>
      </c>
      <c r="B22" s="860"/>
      <c r="C22" s="57"/>
      <c r="D22" s="158"/>
      <c r="E22" s="158"/>
      <c r="F22" s="57"/>
      <c r="G22" s="38">
        <f t="shared" ref="G22:AT22" si="6">G23+G24</f>
        <v>131211.4</v>
      </c>
      <c r="H22" s="38">
        <f t="shared" si="6"/>
        <v>130201.4</v>
      </c>
      <c r="I22" s="38">
        <f t="shared" si="6"/>
        <v>0</v>
      </c>
      <c r="J22" s="38">
        <f t="shared" si="6"/>
        <v>0</v>
      </c>
      <c r="K22" s="38">
        <f t="shared" si="6"/>
        <v>0</v>
      </c>
      <c r="L22" s="38">
        <f t="shared" si="6"/>
        <v>14773</v>
      </c>
      <c r="M22" s="38">
        <f t="shared" si="6"/>
        <v>14773</v>
      </c>
      <c r="N22" s="38">
        <f t="shared" si="6"/>
        <v>14153</v>
      </c>
      <c r="O22" s="38">
        <f t="shared" si="6"/>
        <v>14153</v>
      </c>
      <c r="P22" s="38">
        <f t="shared" si="6"/>
        <v>102810</v>
      </c>
      <c r="Q22" s="38">
        <f t="shared" si="6"/>
        <v>102810</v>
      </c>
      <c r="R22" s="38">
        <f t="shared" si="6"/>
        <v>0</v>
      </c>
      <c r="S22" s="38">
        <f t="shared" si="6"/>
        <v>0</v>
      </c>
      <c r="T22" s="38">
        <f t="shared" si="6"/>
        <v>100295</v>
      </c>
      <c r="U22" s="38">
        <f t="shared" si="6"/>
        <v>100295</v>
      </c>
      <c r="V22" s="38">
        <f t="shared" si="6"/>
        <v>0</v>
      </c>
      <c r="W22" s="38">
        <f t="shared" si="6"/>
        <v>0</v>
      </c>
      <c r="X22" s="38">
        <f t="shared" si="6"/>
        <v>117874</v>
      </c>
      <c r="Y22" s="38">
        <f t="shared" si="6"/>
        <v>116890</v>
      </c>
      <c r="Z22" s="38">
        <f t="shared" si="6"/>
        <v>0</v>
      </c>
      <c r="AA22" s="38">
        <f t="shared" si="6"/>
        <v>0</v>
      </c>
      <c r="AB22" s="38">
        <f t="shared" si="6"/>
        <v>4540</v>
      </c>
      <c r="AC22" s="38">
        <f t="shared" si="6"/>
        <v>-4899</v>
      </c>
      <c r="AD22" s="38">
        <f t="shared" si="6"/>
        <v>22102</v>
      </c>
      <c r="AE22" s="38">
        <f t="shared" si="6"/>
        <v>22102</v>
      </c>
      <c r="AF22" s="38">
        <f t="shared" si="6"/>
        <v>0</v>
      </c>
      <c r="AG22" s="38">
        <f t="shared" si="6"/>
        <v>0</v>
      </c>
      <c r="AH22" s="38">
        <f t="shared" si="6"/>
        <v>19068</v>
      </c>
      <c r="AI22" s="38">
        <f t="shared" si="6"/>
        <v>19068</v>
      </c>
      <c r="AJ22" s="38">
        <f t="shared" si="6"/>
        <v>0</v>
      </c>
      <c r="AK22" s="38">
        <f t="shared" si="6"/>
        <v>12535</v>
      </c>
      <c r="AL22" s="38">
        <f t="shared" si="6"/>
        <v>9740</v>
      </c>
      <c r="AM22" s="38">
        <f t="shared" si="6"/>
        <v>120511</v>
      </c>
      <c r="AN22" s="38">
        <f t="shared" si="6"/>
        <v>119465</v>
      </c>
      <c r="AO22" s="38">
        <f t="shared" si="6"/>
        <v>0</v>
      </c>
      <c r="AP22" s="38">
        <f t="shared" si="6"/>
        <v>0</v>
      </c>
      <c r="AQ22" s="38">
        <f t="shared" si="6"/>
        <v>564</v>
      </c>
      <c r="AR22" s="38">
        <f t="shared" si="6"/>
        <v>3721.66</v>
      </c>
      <c r="AS22" s="38">
        <f t="shared" si="6"/>
        <v>112110.34</v>
      </c>
      <c r="AT22" s="38">
        <f t="shared" si="6"/>
        <v>116330.34</v>
      </c>
      <c r="AU22" s="17"/>
      <c r="AV22" s="17"/>
      <c r="AW22" s="337"/>
      <c r="AX22" s="338"/>
      <c r="AY22" s="157"/>
    </row>
    <row r="23" spans="1:55" s="14" customFormat="1" ht="36.6" customHeight="1" x14ac:dyDescent="0.25">
      <c r="A23" s="159" t="s">
        <v>100</v>
      </c>
      <c r="B23" s="160" t="s">
        <v>101</v>
      </c>
      <c r="C23" s="57"/>
      <c r="D23" s="161"/>
      <c r="E23" s="161"/>
      <c r="F23" s="57"/>
      <c r="G23" s="37"/>
      <c r="H23" s="37"/>
      <c r="I23" s="37"/>
      <c r="J23" s="37"/>
      <c r="K23" s="37"/>
      <c r="L23" s="9"/>
      <c r="M23" s="9"/>
      <c r="N23" s="9"/>
      <c r="O23" s="9"/>
      <c r="P23" s="162">
        <f>+Q23</f>
        <v>15000</v>
      </c>
      <c r="Q23" s="162">
        <v>15000</v>
      </c>
      <c r="R23" s="9"/>
      <c r="S23" s="9"/>
      <c r="T23" s="162">
        <v>15485</v>
      </c>
      <c r="U23" s="162">
        <v>15485</v>
      </c>
      <c r="V23" s="9"/>
      <c r="W23" s="9"/>
      <c r="X23" s="162">
        <f>Y23</f>
        <v>7163</v>
      </c>
      <c r="Y23" s="162">
        <v>7163</v>
      </c>
      <c r="Z23" s="17"/>
      <c r="AA23" s="17"/>
      <c r="AB23" s="17"/>
      <c r="AC23" s="17"/>
      <c r="AD23" s="162">
        <v>2630</v>
      </c>
      <c r="AE23" s="162">
        <v>2630</v>
      </c>
      <c r="AF23" s="9"/>
      <c r="AG23" s="9"/>
      <c r="AH23" s="162">
        <f>AI23</f>
        <v>0</v>
      </c>
      <c r="AI23" s="162">
        <v>0</v>
      </c>
      <c r="AJ23" s="9"/>
      <c r="AK23" s="9"/>
      <c r="AL23" s="9"/>
      <c r="AM23" s="38">
        <v>7163</v>
      </c>
      <c r="AN23" s="38">
        <v>7163</v>
      </c>
      <c r="AO23" s="9"/>
      <c r="AP23" s="9"/>
      <c r="AQ23" s="9"/>
      <c r="AR23" s="383">
        <f>AN23-5266</f>
        <v>1897</v>
      </c>
      <c r="AS23" s="38"/>
      <c r="AT23" s="38">
        <f>AN23-AR23</f>
        <v>5266</v>
      </c>
      <c r="AU23" s="9"/>
      <c r="AV23" s="9"/>
      <c r="AW23" s="225"/>
      <c r="AX23" s="128">
        <f>AN23-AR23</f>
        <v>5266</v>
      </c>
      <c r="AY23" s="154"/>
    </row>
    <row r="24" spans="1:55" s="14" customFormat="1" ht="28.5" customHeight="1" x14ac:dyDescent="0.25">
      <c r="A24" s="163" t="s">
        <v>102</v>
      </c>
      <c r="B24" s="164" t="s">
        <v>103</v>
      </c>
      <c r="C24" s="57"/>
      <c r="D24" s="161"/>
      <c r="E24" s="161"/>
      <c r="F24" s="57"/>
      <c r="G24" s="38">
        <f>G25+G26</f>
        <v>131211.4</v>
      </c>
      <c r="H24" s="38">
        <f t="shared" ref="H24:AT24" si="7">H25+H26</f>
        <v>130201.4</v>
      </c>
      <c r="I24" s="38">
        <f t="shared" si="7"/>
        <v>0</v>
      </c>
      <c r="J24" s="38">
        <f t="shared" si="7"/>
        <v>0</v>
      </c>
      <c r="K24" s="38">
        <f t="shared" si="7"/>
        <v>0</v>
      </c>
      <c r="L24" s="38">
        <f t="shared" si="7"/>
        <v>14773</v>
      </c>
      <c r="M24" s="38">
        <f t="shared" si="7"/>
        <v>14773</v>
      </c>
      <c r="N24" s="38">
        <f t="shared" si="7"/>
        <v>14153</v>
      </c>
      <c r="O24" s="38">
        <f t="shared" si="7"/>
        <v>14153</v>
      </c>
      <c r="P24" s="38">
        <f t="shared" si="7"/>
        <v>87810</v>
      </c>
      <c r="Q24" s="38">
        <f t="shared" si="7"/>
        <v>87810</v>
      </c>
      <c r="R24" s="38">
        <f t="shared" si="7"/>
        <v>0</v>
      </c>
      <c r="S24" s="38">
        <f t="shared" si="7"/>
        <v>0</v>
      </c>
      <c r="T24" s="38">
        <f t="shared" si="7"/>
        <v>84810</v>
      </c>
      <c r="U24" s="38">
        <f t="shared" si="7"/>
        <v>84810</v>
      </c>
      <c r="V24" s="38">
        <f t="shared" si="7"/>
        <v>0</v>
      </c>
      <c r="W24" s="38">
        <f t="shared" si="7"/>
        <v>0</v>
      </c>
      <c r="X24" s="38">
        <f t="shared" si="7"/>
        <v>110711</v>
      </c>
      <c r="Y24" s="38">
        <f t="shared" si="7"/>
        <v>109727</v>
      </c>
      <c r="Z24" s="38">
        <f t="shared" si="7"/>
        <v>0</v>
      </c>
      <c r="AA24" s="38">
        <f t="shared" si="7"/>
        <v>0</v>
      </c>
      <c r="AB24" s="38">
        <f t="shared" si="7"/>
        <v>4540</v>
      </c>
      <c r="AC24" s="38">
        <f t="shared" si="7"/>
        <v>-4899</v>
      </c>
      <c r="AD24" s="38">
        <f t="shared" si="7"/>
        <v>19472</v>
      </c>
      <c r="AE24" s="38">
        <f t="shared" si="7"/>
        <v>19472</v>
      </c>
      <c r="AF24" s="38">
        <f t="shared" si="7"/>
        <v>0</v>
      </c>
      <c r="AG24" s="38">
        <f t="shared" si="7"/>
        <v>0</v>
      </c>
      <c r="AH24" s="38">
        <f t="shared" si="7"/>
        <v>19068</v>
      </c>
      <c r="AI24" s="38">
        <f t="shared" si="7"/>
        <v>19068</v>
      </c>
      <c r="AJ24" s="38">
        <f t="shared" si="7"/>
        <v>0</v>
      </c>
      <c r="AK24" s="38">
        <f t="shared" si="7"/>
        <v>12535</v>
      </c>
      <c r="AL24" s="38">
        <f t="shared" si="7"/>
        <v>9740</v>
      </c>
      <c r="AM24" s="38">
        <f t="shared" si="7"/>
        <v>113348</v>
      </c>
      <c r="AN24" s="38">
        <f t="shared" si="7"/>
        <v>112302</v>
      </c>
      <c r="AO24" s="38">
        <f t="shared" si="7"/>
        <v>0</v>
      </c>
      <c r="AP24" s="38">
        <f t="shared" si="7"/>
        <v>0</v>
      </c>
      <c r="AQ24" s="38">
        <f t="shared" si="7"/>
        <v>564</v>
      </c>
      <c r="AR24" s="38">
        <f t="shared" si="7"/>
        <v>1824.6599999999999</v>
      </c>
      <c r="AS24" s="38">
        <f t="shared" si="7"/>
        <v>112110.34</v>
      </c>
      <c r="AT24" s="38">
        <f t="shared" si="7"/>
        <v>111064.34</v>
      </c>
      <c r="AU24" s="37"/>
      <c r="AV24" s="37"/>
      <c r="AW24" s="141"/>
      <c r="AX24" s="165"/>
    </row>
    <row r="25" spans="1:55" s="14" customFormat="1" ht="28.5" customHeight="1" x14ac:dyDescent="0.25">
      <c r="A25" s="163"/>
      <c r="B25" s="164" t="s">
        <v>104</v>
      </c>
      <c r="C25" s="57"/>
      <c r="D25" s="161"/>
      <c r="E25" s="161"/>
      <c r="F25" s="57"/>
      <c r="G25" s="162">
        <v>0</v>
      </c>
      <c r="H25" s="162">
        <v>0</v>
      </c>
      <c r="I25" s="162">
        <v>0</v>
      </c>
      <c r="J25" s="162">
        <v>0</v>
      </c>
      <c r="K25" s="162">
        <v>0</v>
      </c>
      <c r="L25" s="162">
        <v>0</v>
      </c>
      <c r="M25" s="162">
        <v>0</v>
      </c>
      <c r="N25" s="162">
        <v>0</v>
      </c>
      <c r="O25" s="162">
        <v>0</v>
      </c>
      <c r="P25" s="162">
        <v>0</v>
      </c>
      <c r="Q25" s="162">
        <v>0</v>
      </c>
      <c r="R25" s="162">
        <v>0</v>
      </c>
      <c r="S25" s="162">
        <v>0</v>
      </c>
      <c r="T25" s="162">
        <v>0</v>
      </c>
      <c r="U25" s="162">
        <v>0</v>
      </c>
      <c r="V25" s="162">
        <v>0</v>
      </c>
      <c r="W25" s="162">
        <v>0</v>
      </c>
      <c r="X25" s="162">
        <v>0</v>
      </c>
      <c r="Y25" s="37">
        <v>0</v>
      </c>
      <c r="Z25" s="37">
        <v>0</v>
      </c>
      <c r="AA25" s="37">
        <v>0</v>
      </c>
      <c r="AB25" s="37">
        <v>0</v>
      </c>
      <c r="AC25" s="37">
        <v>0</v>
      </c>
      <c r="AD25" s="37">
        <v>0</v>
      </c>
      <c r="AE25" s="37">
        <v>0</v>
      </c>
      <c r="AF25" s="37">
        <v>0</v>
      </c>
      <c r="AG25" s="37">
        <v>0</v>
      </c>
      <c r="AH25" s="37">
        <v>0</v>
      </c>
      <c r="AI25" s="37">
        <v>0</v>
      </c>
      <c r="AJ25" s="37">
        <v>0</v>
      </c>
      <c r="AK25" s="37"/>
      <c r="AL25" s="37"/>
      <c r="AM25" s="37"/>
      <c r="AN25" s="37"/>
      <c r="AO25" s="37"/>
      <c r="AP25" s="37"/>
      <c r="AQ25" s="37"/>
      <c r="AR25" s="37"/>
      <c r="AS25" s="37"/>
      <c r="AT25" s="37"/>
      <c r="AU25" s="37"/>
      <c r="AV25" s="37"/>
      <c r="AW25" s="10"/>
      <c r="AX25" s="79"/>
    </row>
    <row r="26" spans="1:55" s="14" customFormat="1" ht="28.5" customHeight="1" x14ac:dyDescent="0.25">
      <c r="A26" s="163"/>
      <c r="B26" s="164" t="s">
        <v>105</v>
      </c>
      <c r="C26" s="57"/>
      <c r="D26" s="161"/>
      <c r="E26" s="161"/>
      <c r="F26" s="57"/>
      <c r="G26" s="38">
        <f t="shared" ref="G26:AN26" si="8">G27+G35</f>
        <v>131211.4</v>
      </c>
      <c r="H26" s="38">
        <f t="shared" si="8"/>
        <v>130201.4</v>
      </c>
      <c r="I26" s="38">
        <f t="shared" si="8"/>
        <v>0</v>
      </c>
      <c r="J26" s="38">
        <f t="shared" si="8"/>
        <v>0</v>
      </c>
      <c r="K26" s="38">
        <f t="shared" si="8"/>
        <v>0</v>
      </c>
      <c r="L26" s="38">
        <f t="shared" si="8"/>
        <v>14773</v>
      </c>
      <c r="M26" s="38">
        <f t="shared" si="8"/>
        <v>14773</v>
      </c>
      <c r="N26" s="38">
        <f t="shared" si="8"/>
        <v>14153</v>
      </c>
      <c r="O26" s="38">
        <f t="shared" si="8"/>
        <v>14153</v>
      </c>
      <c r="P26" s="38">
        <f t="shared" si="8"/>
        <v>87810</v>
      </c>
      <c r="Q26" s="38">
        <f t="shared" si="8"/>
        <v>87810</v>
      </c>
      <c r="R26" s="38">
        <f t="shared" si="8"/>
        <v>0</v>
      </c>
      <c r="S26" s="38">
        <f t="shared" si="8"/>
        <v>0</v>
      </c>
      <c r="T26" s="38">
        <f t="shared" si="8"/>
        <v>84810</v>
      </c>
      <c r="U26" s="38">
        <f t="shared" si="8"/>
        <v>84810</v>
      </c>
      <c r="V26" s="38">
        <f t="shared" si="8"/>
        <v>0</v>
      </c>
      <c r="W26" s="38">
        <f t="shared" si="8"/>
        <v>0</v>
      </c>
      <c r="X26" s="38">
        <f t="shared" si="8"/>
        <v>110711</v>
      </c>
      <c r="Y26" s="38">
        <f t="shared" si="8"/>
        <v>109727</v>
      </c>
      <c r="Z26" s="38">
        <f t="shared" si="8"/>
        <v>0</v>
      </c>
      <c r="AA26" s="38">
        <f t="shared" si="8"/>
        <v>0</v>
      </c>
      <c r="AB26" s="38">
        <f t="shared" si="8"/>
        <v>4540</v>
      </c>
      <c r="AC26" s="38">
        <f t="shared" si="8"/>
        <v>-4899</v>
      </c>
      <c r="AD26" s="38">
        <f t="shared" si="8"/>
        <v>19472</v>
      </c>
      <c r="AE26" s="38">
        <f t="shared" si="8"/>
        <v>19472</v>
      </c>
      <c r="AF26" s="38">
        <f t="shared" si="8"/>
        <v>0</v>
      </c>
      <c r="AG26" s="38">
        <f t="shared" si="8"/>
        <v>0</v>
      </c>
      <c r="AH26" s="38">
        <f t="shared" si="8"/>
        <v>19068</v>
      </c>
      <c r="AI26" s="38">
        <f t="shared" si="8"/>
        <v>19068</v>
      </c>
      <c r="AJ26" s="38">
        <f t="shared" si="8"/>
        <v>0</v>
      </c>
      <c r="AK26" s="38">
        <f t="shared" si="8"/>
        <v>12535</v>
      </c>
      <c r="AL26" s="38">
        <f t="shared" si="8"/>
        <v>9740</v>
      </c>
      <c r="AM26" s="38">
        <f t="shared" si="8"/>
        <v>113348</v>
      </c>
      <c r="AN26" s="38">
        <f t="shared" si="8"/>
        <v>112302</v>
      </c>
      <c r="AO26" s="38">
        <f t="shared" ref="AO26:AT26" si="9">AO27+AO35</f>
        <v>0</v>
      </c>
      <c r="AP26" s="38">
        <f t="shared" si="9"/>
        <v>0</v>
      </c>
      <c r="AQ26" s="38">
        <f>AQ27+AQ35</f>
        <v>564</v>
      </c>
      <c r="AR26" s="38">
        <f t="shared" si="9"/>
        <v>1824.6599999999999</v>
      </c>
      <c r="AS26" s="38">
        <f t="shared" si="9"/>
        <v>112110.34</v>
      </c>
      <c r="AT26" s="380">
        <f t="shared" si="9"/>
        <v>111064.34</v>
      </c>
      <c r="AU26" s="37"/>
      <c r="AV26" s="37"/>
      <c r="AW26" s="141"/>
      <c r="AX26" s="79"/>
    </row>
    <row r="27" spans="1:55" s="14" customFormat="1" ht="47.25" x14ac:dyDescent="0.25">
      <c r="A27" s="163" t="s">
        <v>106</v>
      </c>
      <c r="B27" s="166" t="s">
        <v>107</v>
      </c>
      <c r="C27" s="57"/>
      <c r="D27" s="161"/>
      <c r="E27" s="161"/>
      <c r="F27" s="57"/>
      <c r="G27" s="38">
        <f t="shared" ref="G27:AM27" si="10">G28+G29</f>
        <v>34620</v>
      </c>
      <c r="H27" s="38">
        <f t="shared" si="10"/>
        <v>34620</v>
      </c>
      <c r="I27" s="38">
        <f t="shared" si="10"/>
        <v>0</v>
      </c>
      <c r="J27" s="38">
        <f t="shared" si="10"/>
        <v>0</v>
      </c>
      <c r="K27" s="38">
        <f t="shared" si="10"/>
        <v>0</v>
      </c>
      <c r="L27" s="38">
        <f t="shared" si="10"/>
        <v>14773</v>
      </c>
      <c r="M27" s="38">
        <f t="shared" si="10"/>
        <v>14773</v>
      </c>
      <c r="N27" s="38">
        <f t="shared" si="10"/>
        <v>14153</v>
      </c>
      <c r="O27" s="38">
        <f t="shared" si="10"/>
        <v>14153</v>
      </c>
      <c r="P27" s="38">
        <f t="shared" si="10"/>
        <v>20642</v>
      </c>
      <c r="Q27" s="38">
        <f t="shared" si="10"/>
        <v>20642</v>
      </c>
      <c r="R27" s="38">
        <f t="shared" si="10"/>
        <v>0</v>
      </c>
      <c r="S27" s="38">
        <f t="shared" si="10"/>
        <v>0</v>
      </c>
      <c r="T27" s="38">
        <f t="shared" si="10"/>
        <v>20642</v>
      </c>
      <c r="U27" s="38">
        <f t="shared" si="10"/>
        <v>20642</v>
      </c>
      <c r="V27" s="38">
        <f t="shared" si="10"/>
        <v>0</v>
      </c>
      <c r="W27" s="38">
        <f t="shared" si="10"/>
        <v>0</v>
      </c>
      <c r="X27" s="38">
        <f t="shared" si="10"/>
        <v>18094</v>
      </c>
      <c r="Y27" s="38">
        <f t="shared" si="10"/>
        <v>18094</v>
      </c>
      <c r="Z27" s="38">
        <f t="shared" si="10"/>
        <v>0</v>
      </c>
      <c r="AA27" s="38">
        <f t="shared" si="10"/>
        <v>0</v>
      </c>
      <c r="AB27" s="38">
        <f t="shared" si="10"/>
        <v>0</v>
      </c>
      <c r="AC27" s="38">
        <f t="shared" si="10"/>
        <v>-2548</v>
      </c>
      <c r="AD27" s="38">
        <f t="shared" si="10"/>
        <v>14331</v>
      </c>
      <c r="AE27" s="38">
        <f t="shared" si="10"/>
        <v>14331</v>
      </c>
      <c r="AF27" s="38">
        <f t="shared" si="10"/>
        <v>0</v>
      </c>
      <c r="AG27" s="38">
        <f t="shared" si="10"/>
        <v>0</v>
      </c>
      <c r="AH27" s="38">
        <f t="shared" si="10"/>
        <v>3200</v>
      </c>
      <c r="AI27" s="38">
        <f t="shared" si="10"/>
        <v>3200</v>
      </c>
      <c r="AJ27" s="38">
        <f t="shared" si="10"/>
        <v>0</v>
      </c>
      <c r="AK27" s="38">
        <f t="shared" si="10"/>
        <v>0</v>
      </c>
      <c r="AL27" s="38">
        <f t="shared" si="10"/>
        <v>0</v>
      </c>
      <c r="AM27" s="38">
        <f t="shared" si="10"/>
        <v>18094</v>
      </c>
      <c r="AN27" s="38">
        <f>AN28+AN29</f>
        <v>18094</v>
      </c>
      <c r="AO27" s="38">
        <f t="shared" ref="AO27:AT27" si="11">AO28+AO29</f>
        <v>0</v>
      </c>
      <c r="AP27" s="38">
        <f t="shared" si="11"/>
        <v>0</v>
      </c>
      <c r="AQ27" s="38">
        <f t="shared" si="11"/>
        <v>11</v>
      </c>
      <c r="AR27" s="38">
        <f t="shared" si="11"/>
        <v>1660.6599999999999</v>
      </c>
      <c r="AS27" s="38">
        <f t="shared" si="11"/>
        <v>16507.34</v>
      </c>
      <c r="AT27" s="38">
        <f t="shared" si="11"/>
        <v>16507.34</v>
      </c>
      <c r="AU27" s="37"/>
      <c r="AV27" s="37"/>
      <c r="AW27" s="141"/>
      <c r="AX27" s="79"/>
    </row>
    <row r="28" spans="1:55" s="144" customFormat="1" ht="31.5" x14ac:dyDescent="0.25">
      <c r="A28" s="167" t="s">
        <v>108</v>
      </c>
      <c r="B28" s="168" t="s">
        <v>109</v>
      </c>
      <c r="C28" s="142"/>
      <c r="D28" s="169"/>
      <c r="E28" s="169"/>
      <c r="F28" s="142"/>
      <c r="G28" s="170"/>
      <c r="H28" s="170"/>
      <c r="I28" s="171"/>
      <c r="J28" s="171"/>
      <c r="K28" s="171"/>
      <c r="L28" s="170"/>
      <c r="M28" s="170"/>
      <c r="N28" s="170"/>
      <c r="O28" s="104"/>
      <c r="P28" s="172"/>
      <c r="Q28" s="172"/>
      <c r="R28" s="104"/>
      <c r="S28" s="104"/>
      <c r="T28" s="172"/>
      <c r="U28" s="172"/>
      <c r="V28" s="104"/>
      <c r="W28" s="104"/>
      <c r="X28" s="172"/>
      <c r="Y28" s="172"/>
      <c r="Z28" s="172"/>
      <c r="AA28" s="172"/>
      <c r="AB28" s="172"/>
      <c r="AC28" s="37"/>
      <c r="AD28" s="104"/>
      <c r="AE28" s="104"/>
      <c r="AF28" s="104"/>
      <c r="AG28" s="104"/>
      <c r="AH28" s="173"/>
      <c r="AI28" s="104"/>
      <c r="AJ28" s="104"/>
      <c r="AK28" s="104"/>
      <c r="AL28" s="104"/>
      <c r="AM28" s="104"/>
      <c r="AN28" s="104"/>
      <c r="AO28" s="104">
        <f>18094-AN29</f>
        <v>0</v>
      </c>
      <c r="AP28" s="104"/>
      <c r="AQ28" s="104"/>
      <c r="AR28" s="104"/>
      <c r="AS28" s="104"/>
      <c r="AT28" s="104"/>
      <c r="AU28" s="104"/>
      <c r="AV28" s="104"/>
      <c r="AW28" s="143"/>
      <c r="AX28" s="174"/>
    </row>
    <row r="29" spans="1:55" s="144" customFormat="1" ht="36.75" customHeight="1" x14ac:dyDescent="0.25">
      <c r="A29" s="167" t="s">
        <v>108</v>
      </c>
      <c r="B29" s="175" t="s">
        <v>110</v>
      </c>
      <c r="C29" s="142"/>
      <c r="D29" s="169"/>
      <c r="E29" s="169"/>
      <c r="F29" s="142"/>
      <c r="G29" s="101">
        <f>SUM(G30:G34)</f>
        <v>34620</v>
      </c>
      <c r="H29" s="101">
        <f t="shared" ref="H29:W29" si="12">SUM(H30:H34)</f>
        <v>34620</v>
      </c>
      <c r="I29" s="101">
        <f t="shared" si="12"/>
        <v>0</v>
      </c>
      <c r="J29" s="101">
        <f t="shared" si="12"/>
        <v>0</v>
      </c>
      <c r="K29" s="101">
        <f t="shared" si="12"/>
        <v>0</v>
      </c>
      <c r="L29" s="101">
        <f t="shared" si="12"/>
        <v>14773</v>
      </c>
      <c r="M29" s="101">
        <f t="shared" si="12"/>
        <v>14773</v>
      </c>
      <c r="N29" s="101">
        <f t="shared" si="12"/>
        <v>14153</v>
      </c>
      <c r="O29" s="101">
        <f t="shared" si="12"/>
        <v>14153</v>
      </c>
      <c r="P29" s="101">
        <f>SUM(P30:P34)</f>
        <v>20642</v>
      </c>
      <c r="Q29" s="101">
        <f t="shared" si="12"/>
        <v>20642</v>
      </c>
      <c r="R29" s="101">
        <f t="shared" si="12"/>
        <v>0</v>
      </c>
      <c r="S29" s="101">
        <f t="shared" si="12"/>
        <v>0</v>
      </c>
      <c r="T29" s="101">
        <f t="shared" si="12"/>
        <v>20642</v>
      </c>
      <c r="U29" s="101">
        <f t="shared" si="12"/>
        <v>20642</v>
      </c>
      <c r="V29" s="101">
        <f t="shared" si="12"/>
        <v>0</v>
      </c>
      <c r="W29" s="101">
        <f t="shared" si="12"/>
        <v>0</v>
      </c>
      <c r="X29" s="101">
        <f t="shared" ref="X29:AM29" si="13">SUM(X30:X34)</f>
        <v>18094</v>
      </c>
      <c r="Y29" s="101">
        <f>SUM(Y30:Y34)</f>
        <v>18094</v>
      </c>
      <c r="Z29" s="101">
        <f t="shared" si="13"/>
        <v>0</v>
      </c>
      <c r="AA29" s="101">
        <f t="shared" si="13"/>
        <v>0</v>
      </c>
      <c r="AB29" s="101">
        <f t="shared" si="13"/>
        <v>0</v>
      </c>
      <c r="AC29" s="101">
        <f t="shared" si="13"/>
        <v>-2548</v>
      </c>
      <c r="AD29" s="101">
        <f t="shared" si="13"/>
        <v>14331</v>
      </c>
      <c r="AE29" s="101">
        <f t="shared" si="13"/>
        <v>14331</v>
      </c>
      <c r="AF29" s="101">
        <f t="shared" si="13"/>
        <v>0</v>
      </c>
      <c r="AG29" s="101">
        <f t="shared" si="13"/>
        <v>0</v>
      </c>
      <c r="AH29" s="101">
        <f t="shared" si="13"/>
        <v>3200</v>
      </c>
      <c r="AI29" s="101">
        <f t="shared" si="13"/>
        <v>3200</v>
      </c>
      <c r="AJ29" s="101">
        <f t="shared" si="13"/>
        <v>0</v>
      </c>
      <c r="AK29" s="101">
        <f t="shared" si="13"/>
        <v>0</v>
      </c>
      <c r="AL29" s="101">
        <f t="shared" si="13"/>
        <v>0</v>
      </c>
      <c r="AM29" s="101">
        <f t="shared" si="13"/>
        <v>18094</v>
      </c>
      <c r="AN29" s="101">
        <f>SUM(AN30:AN34)</f>
        <v>18094</v>
      </c>
      <c r="AO29" s="101">
        <f t="shared" ref="AO29:AT29" si="14">SUM(AO30:AO34)</f>
        <v>0</v>
      </c>
      <c r="AP29" s="101">
        <f t="shared" si="14"/>
        <v>0</v>
      </c>
      <c r="AQ29" s="101">
        <f t="shared" si="14"/>
        <v>11</v>
      </c>
      <c r="AR29" s="101">
        <f t="shared" si="14"/>
        <v>1660.6599999999999</v>
      </c>
      <c r="AS29" s="101">
        <f t="shared" si="14"/>
        <v>16507.34</v>
      </c>
      <c r="AT29" s="101">
        <f t="shared" si="14"/>
        <v>16507.34</v>
      </c>
      <c r="AU29" s="18"/>
      <c r="AV29" s="18"/>
      <c r="AW29" s="143"/>
      <c r="AX29" s="174"/>
    </row>
    <row r="30" spans="1:55" s="14" customFormat="1" ht="47.25" x14ac:dyDescent="0.25">
      <c r="A30" s="15">
        <v>1</v>
      </c>
      <c r="B30" s="176" t="s">
        <v>111</v>
      </c>
      <c r="C30" s="57"/>
      <c r="D30" s="177" t="s">
        <v>112</v>
      </c>
      <c r="E30" s="178" t="s">
        <v>113</v>
      </c>
      <c r="F30" s="179" t="s">
        <v>114</v>
      </c>
      <c r="G30" s="17">
        <f>+H30</f>
        <v>4845</v>
      </c>
      <c r="H30" s="17">
        <v>4845</v>
      </c>
      <c r="I30" s="17"/>
      <c r="J30" s="17"/>
      <c r="K30" s="17"/>
      <c r="L30" s="17">
        <v>2450</v>
      </c>
      <c r="M30" s="17">
        <v>2450</v>
      </c>
      <c r="N30" s="17">
        <v>2450</v>
      </c>
      <c r="O30" s="17">
        <v>2450</v>
      </c>
      <c r="P30" s="17">
        <v>2369</v>
      </c>
      <c r="Q30" s="17">
        <v>2369</v>
      </c>
      <c r="R30" s="17"/>
      <c r="S30" s="17"/>
      <c r="T30" s="17">
        <v>2369</v>
      </c>
      <c r="U30" s="17">
        <v>2369</v>
      </c>
      <c r="V30" s="17"/>
      <c r="W30" s="17"/>
      <c r="X30" s="17">
        <f>Y30</f>
        <v>2338</v>
      </c>
      <c r="Y30" s="17">
        <v>2338</v>
      </c>
      <c r="Z30" s="17"/>
      <c r="AA30" s="17"/>
      <c r="AB30" s="17"/>
      <c r="AC30" s="17">
        <f>Y30-U30</f>
        <v>-31</v>
      </c>
      <c r="AD30" s="17">
        <f>AE30</f>
        <v>2369</v>
      </c>
      <c r="AE30" s="17">
        <v>2369</v>
      </c>
      <c r="AF30" s="17"/>
      <c r="AG30" s="17"/>
      <c r="AH30" s="17">
        <v>0</v>
      </c>
      <c r="AI30" s="17">
        <v>0</v>
      </c>
      <c r="AJ30" s="17"/>
      <c r="AK30" s="17"/>
      <c r="AL30" s="17"/>
      <c r="AM30" s="17">
        <f>AN30</f>
        <v>2338</v>
      </c>
      <c r="AN30" s="26">
        <v>2338</v>
      </c>
      <c r="AO30" s="9"/>
      <c r="AP30" s="9"/>
      <c r="AQ30" s="9"/>
      <c r="AR30" s="9"/>
      <c r="AS30" s="9">
        <f>AT30</f>
        <v>2369</v>
      </c>
      <c r="AT30" s="9">
        <v>2369</v>
      </c>
      <c r="AU30" s="9"/>
      <c r="AV30" s="9"/>
      <c r="AW30" s="141"/>
      <c r="AX30" s="79">
        <v>31</v>
      </c>
    </row>
    <row r="31" spans="1:55" s="14" customFormat="1" ht="47.25" x14ac:dyDescent="0.25">
      <c r="A31" s="15">
        <v>2</v>
      </c>
      <c r="B31" s="176" t="s">
        <v>115</v>
      </c>
      <c r="C31" s="57"/>
      <c r="D31" s="177" t="s">
        <v>116</v>
      </c>
      <c r="E31" s="178" t="s">
        <v>113</v>
      </c>
      <c r="F31" s="179" t="s">
        <v>117</v>
      </c>
      <c r="G31" s="17">
        <f>+H31</f>
        <v>5000</v>
      </c>
      <c r="H31" s="17">
        <v>5000</v>
      </c>
      <c r="I31" s="17"/>
      <c r="J31" s="17"/>
      <c r="K31" s="17"/>
      <c r="L31" s="17">
        <v>2500</v>
      </c>
      <c r="M31" s="17">
        <v>2500</v>
      </c>
      <c r="N31" s="17">
        <f>O31</f>
        <v>2500</v>
      </c>
      <c r="O31" s="17">
        <v>2500</v>
      </c>
      <c r="P31" s="17">
        <v>2498</v>
      </c>
      <c r="Q31" s="17">
        <v>2498</v>
      </c>
      <c r="R31" s="17"/>
      <c r="S31" s="17"/>
      <c r="T31" s="17">
        <v>2498</v>
      </c>
      <c r="U31" s="17">
        <v>2498</v>
      </c>
      <c r="V31" s="17"/>
      <c r="W31" s="17"/>
      <c r="X31" s="17">
        <f>Y31</f>
        <v>2466</v>
      </c>
      <c r="Y31" s="17">
        <v>2466</v>
      </c>
      <c r="Z31" s="17"/>
      <c r="AA31" s="17"/>
      <c r="AB31" s="17"/>
      <c r="AC31" s="17">
        <f>Y31-U31</f>
        <v>-32</v>
      </c>
      <c r="AD31" s="17">
        <f>AE31</f>
        <v>2498</v>
      </c>
      <c r="AE31" s="17">
        <v>2498</v>
      </c>
      <c r="AF31" s="17"/>
      <c r="AG31" s="17"/>
      <c r="AH31" s="17">
        <v>0</v>
      </c>
      <c r="AI31" s="17">
        <v>0</v>
      </c>
      <c r="AJ31" s="17"/>
      <c r="AK31" s="17"/>
      <c r="AL31" s="17"/>
      <c r="AM31" s="17">
        <f>AN31</f>
        <v>2466</v>
      </c>
      <c r="AN31" s="26">
        <v>2466</v>
      </c>
      <c r="AO31" s="17"/>
      <c r="AP31" s="17"/>
      <c r="AQ31" s="17"/>
      <c r="AR31" s="17"/>
      <c r="AS31" s="9">
        <f>AT31</f>
        <v>2498</v>
      </c>
      <c r="AT31" s="9">
        <v>2498</v>
      </c>
      <c r="AU31" s="17"/>
      <c r="AV31" s="17"/>
      <c r="AW31" s="141"/>
      <c r="AX31" s="79">
        <v>31</v>
      </c>
    </row>
    <row r="32" spans="1:55" s="14" customFormat="1" ht="85.5" customHeight="1" x14ac:dyDescent="0.25">
      <c r="A32" s="15">
        <v>3</v>
      </c>
      <c r="B32" s="180" t="s">
        <v>118</v>
      </c>
      <c r="C32" s="57"/>
      <c r="D32" s="179" t="s">
        <v>119</v>
      </c>
      <c r="E32" s="63" t="s">
        <v>120</v>
      </c>
      <c r="F32" s="51" t="s">
        <v>121</v>
      </c>
      <c r="G32" s="17">
        <f>+H32</f>
        <v>15000</v>
      </c>
      <c r="H32" s="17">
        <v>15000</v>
      </c>
      <c r="I32" s="17"/>
      <c r="J32" s="17"/>
      <c r="K32" s="17"/>
      <c r="L32" s="17">
        <v>5250</v>
      </c>
      <c r="M32" s="17">
        <v>5250</v>
      </c>
      <c r="N32" s="17">
        <v>5250</v>
      </c>
      <c r="O32" s="17">
        <v>5250</v>
      </c>
      <c r="P32" s="17">
        <v>9750</v>
      </c>
      <c r="Q32" s="17">
        <v>9750</v>
      </c>
      <c r="R32" s="17"/>
      <c r="S32" s="17"/>
      <c r="T32" s="17">
        <v>9750</v>
      </c>
      <c r="U32" s="17">
        <v>9750</v>
      </c>
      <c r="V32" s="17"/>
      <c r="W32" s="17"/>
      <c r="X32" s="17">
        <f>Y32</f>
        <v>8275</v>
      </c>
      <c r="Y32" s="17">
        <v>8275</v>
      </c>
      <c r="Z32" s="17"/>
      <c r="AA32" s="17"/>
      <c r="AB32" s="17"/>
      <c r="AC32" s="17">
        <f>Y32-U32</f>
        <v>-1475</v>
      </c>
      <c r="AD32" s="17">
        <f>AE32</f>
        <v>5875</v>
      </c>
      <c r="AE32" s="17">
        <v>5875</v>
      </c>
      <c r="AF32" s="17"/>
      <c r="AG32" s="17"/>
      <c r="AH32" s="17">
        <f>AI32</f>
        <v>2500</v>
      </c>
      <c r="AI32" s="17">
        <v>2500</v>
      </c>
      <c r="AJ32" s="17"/>
      <c r="AK32" s="17"/>
      <c r="AL32" s="17"/>
      <c r="AM32" s="17">
        <f>AN32</f>
        <v>8275</v>
      </c>
      <c r="AN32" s="17">
        <v>8275</v>
      </c>
      <c r="AO32" s="17"/>
      <c r="AP32" s="17"/>
      <c r="AQ32" s="17"/>
      <c r="AR32" s="391">
        <v>1000.6999999999998</v>
      </c>
      <c r="AS32" s="391">
        <f>AT32</f>
        <v>7274.3</v>
      </c>
      <c r="AT32" s="391">
        <f>AN32-AR32</f>
        <v>7274.3</v>
      </c>
      <c r="AU32" s="17"/>
      <c r="AV32" s="17"/>
      <c r="AW32" s="10"/>
      <c r="AX32" s="19"/>
      <c r="AY32" s="119" t="s">
        <v>122</v>
      </c>
    </row>
    <row r="33" spans="1:53" s="14" customFormat="1" ht="47.25" x14ac:dyDescent="0.25">
      <c r="A33" s="15">
        <v>4</v>
      </c>
      <c r="B33" s="180" t="s">
        <v>123</v>
      </c>
      <c r="C33" s="57"/>
      <c r="D33" s="179" t="s">
        <v>124</v>
      </c>
      <c r="E33" s="63" t="s">
        <v>120</v>
      </c>
      <c r="F33" s="51" t="s">
        <v>125</v>
      </c>
      <c r="G33" s="17">
        <f>+H33</f>
        <v>9132</v>
      </c>
      <c r="H33" s="17">
        <v>9132</v>
      </c>
      <c r="I33" s="17"/>
      <c r="J33" s="17"/>
      <c r="K33" s="17"/>
      <c r="L33" s="17">
        <f>M33</f>
        <v>4053</v>
      </c>
      <c r="M33" s="17">
        <v>4053</v>
      </c>
      <c r="N33" s="17">
        <f>O33</f>
        <v>3953</v>
      </c>
      <c r="O33" s="17">
        <v>3953</v>
      </c>
      <c r="P33" s="17">
        <v>5932</v>
      </c>
      <c r="Q33" s="17">
        <v>5932</v>
      </c>
      <c r="R33" s="17"/>
      <c r="S33" s="17"/>
      <c r="T33" s="17">
        <v>5932</v>
      </c>
      <c r="U33" s="17">
        <v>5932</v>
      </c>
      <c r="V33" s="17"/>
      <c r="W33" s="17"/>
      <c r="X33" s="17">
        <f>Y33</f>
        <v>4933</v>
      </c>
      <c r="Y33" s="17">
        <v>4933</v>
      </c>
      <c r="Z33" s="17"/>
      <c r="AA33" s="17"/>
      <c r="AB33" s="17"/>
      <c r="AC33" s="17">
        <f>Y33-U33</f>
        <v>-999</v>
      </c>
      <c r="AD33" s="17">
        <f>AE33</f>
        <v>3496</v>
      </c>
      <c r="AE33" s="17">
        <v>3496</v>
      </c>
      <c r="AF33" s="17"/>
      <c r="AG33" s="17"/>
      <c r="AH33" s="17">
        <f>AI33</f>
        <v>700</v>
      </c>
      <c r="AI33" s="17">
        <v>700</v>
      </c>
      <c r="AJ33" s="17"/>
      <c r="AK33" s="17"/>
      <c r="AL33" s="17"/>
      <c r="AM33" s="17">
        <f>AN33</f>
        <v>4933</v>
      </c>
      <c r="AN33" s="17">
        <v>4933</v>
      </c>
      <c r="AO33" s="17"/>
      <c r="AP33" s="17"/>
      <c r="AQ33" s="17"/>
      <c r="AR33" s="391">
        <v>659.96</v>
      </c>
      <c r="AS33" s="392">
        <f>AT33</f>
        <v>4273.04</v>
      </c>
      <c r="AT33" s="391">
        <f>AN33-AR33</f>
        <v>4273.04</v>
      </c>
      <c r="AU33" s="17"/>
      <c r="AV33" s="17"/>
      <c r="AW33" s="10"/>
      <c r="AX33" s="19"/>
      <c r="AY33" s="119" t="s">
        <v>126</v>
      </c>
    </row>
    <row r="34" spans="1:53" s="14" customFormat="1" ht="47.25" x14ac:dyDescent="0.25">
      <c r="A34" s="15">
        <v>5</v>
      </c>
      <c r="B34" s="180" t="s">
        <v>127</v>
      </c>
      <c r="C34" s="57"/>
      <c r="D34" s="179" t="s">
        <v>128</v>
      </c>
      <c r="E34" s="179" t="s">
        <v>129</v>
      </c>
      <c r="F34" s="51" t="s">
        <v>130</v>
      </c>
      <c r="G34" s="17">
        <f>+H34</f>
        <v>643</v>
      </c>
      <c r="H34" s="17">
        <v>643</v>
      </c>
      <c r="I34" s="17"/>
      <c r="J34" s="17"/>
      <c r="K34" s="17"/>
      <c r="L34" s="17">
        <v>520</v>
      </c>
      <c r="M34" s="17">
        <v>520</v>
      </c>
      <c r="N34" s="17"/>
      <c r="O34" s="17"/>
      <c r="P34" s="17">
        <v>93</v>
      </c>
      <c r="Q34" s="17">
        <v>93</v>
      </c>
      <c r="R34" s="17"/>
      <c r="S34" s="17"/>
      <c r="T34" s="17">
        <v>93</v>
      </c>
      <c r="U34" s="17">
        <v>93</v>
      </c>
      <c r="V34" s="17"/>
      <c r="W34" s="17"/>
      <c r="X34" s="17">
        <f>Y34</f>
        <v>82</v>
      </c>
      <c r="Y34" s="17">
        <v>82</v>
      </c>
      <c r="Z34" s="17"/>
      <c r="AA34" s="17"/>
      <c r="AB34" s="17"/>
      <c r="AC34" s="17">
        <f>Y34-U34</f>
        <v>-11</v>
      </c>
      <c r="AD34" s="17">
        <f>AE34</f>
        <v>93</v>
      </c>
      <c r="AE34" s="17">
        <v>93</v>
      </c>
      <c r="AF34" s="17"/>
      <c r="AG34" s="17"/>
      <c r="AH34" s="17"/>
      <c r="AI34" s="17"/>
      <c r="AJ34" s="17"/>
      <c r="AK34" s="17"/>
      <c r="AL34" s="17"/>
      <c r="AM34" s="17">
        <f>AN34</f>
        <v>82</v>
      </c>
      <c r="AN34" s="17">
        <v>82</v>
      </c>
      <c r="AO34" s="17"/>
      <c r="AP34" s="17"/>
      <c r="AQ34" s="17">
        <f>93-82</f>
        <v>11</v>
      </c>
      <c r="AR34" s="17"/>
      <c r="AS34" s="17">
        <f>AT34</f>
        <v>93</v>
      </c>
      <c r="AT34" s="17">
        <f>AN34+AQ34</f>
        <v>93</v>
      </c>
      <c r="AU34" s="17"/>
      <c r="AV34" s="17"/>
      <c r="AW34" s="141"/>
      <c r="AX34" s="79"/>
    </row>
    <row r="35" spans="1:53" s="14" customFormat="1" ht="41.25" customHeight="1" x14ac:dyDescent="0.25">
      <c r="A35" s="3" t="s">
        <v>131</v>
      </c>
      <c r="B35" s="181" t="s">
        <v>132</v>
      </c>
      <c r="C35" s="57"/>
      <c r="D35" s="182"/>
      <c r="E35" s="183"/>
      <c r="F35" s="57"/>
      <c r="G35" s="38">
        <f t="shared" ref="G35:AS35" si="15">G36+G53</f>
        <v>96591.4</v>
      </c>
      <c r="H35" s="38">
        <f t="shared" si="15"/>
        <v>95581.4</v>
      </c>
      <c r="I35" s="38">
        <f t="shared" si="15"/>
        <v>0</v>
      </c>
      <c r="J35" s="38">
        <f t="shared" si="15"/>
        <v>0</v>
      </c>
      <c r="K35" s="38">
        <f t="shared" si="15"/>
        <v>0</v>
      </c>
      <c r="L35" s="38">
        <f t="shared" si="15"/>
        <v>0</v>
      </c>
      <c r="M35" s="38">
        <f t="shared" si="15"/>
        <v>0</v>
      </c>
      <c r="N35" s="38">
        <f t="shared" si="15"/>
        <v>0</v>
      </c>
      <c r="O35" s="38">
        <f t="shared" si="15"/>
        <v>0</v>
      </c>
      <c r="P35" s="38">
        <f t="shared" si="15"/>
        <v>67168</v>
      </c>
      <c r="Q35" s="38">
        <f t="shared" si="15"/>
        <v>67168</v>
      </c>
      <c r="R35" s="38">
        <f t="shared" si="15"/>
        <v>0</v>
      </c>
      <c r="S35" s="38">
        <f t="shared" si="15"/>
        <v>0</v>
      </c>
      <c r="T35" s="38">
        <f t="shared" si="15"/>
        <v>64168</v>
      </c>
      <c r="U35" s="38">
        <f t="shared" si="15"/>
        <v>64168</v>
      </c>
      <c r="V35" s="38">
        <f t="shared" si="15"/>
        <v>0</v>
      </c>
      <c r="W35" s="38">
        <f t="shared" si="15"/>
        <v>0</v>
      </c>
      <c r="X35" s="38">
        <f t="shared" si="15"/>
        <v>92617</v>
      </c>
      <c r="Y35" s="38">
        <f t="shared" si="15"/>
        <v>91633</v>
      </c>
      <c r="Z35" s="38">
        <f t="shared" si="15"/>
        <v>0</v>
      </c>
      <c r="AA35" s="38">
        <f t="shared" si="15"/>
        <v>0</v>
      </c>
      <c r="AB35" s="38">
        <f t="shared" si="15"/>
        <v>4540</v>
      </c>
      <c r="AC35" s="38">
        <f t="shared" si="15"/>
        <v>-2351</v>
      </c>
      <c r="AD35" s="38">
        <f t="shared" si="15"/>
        <v>5141</v>
      </c>
      <c r="AE35" s="38">
        <f t="shared" si="15"/>
        <v>5141</v>
      </c>
      <c r="AF35" s="38">
        <f t="shared" si="15"/>
        <v>0</v>
      </c>
      <c r="AG35" s="38">
        <f t="shared" si="15"/>
        <v>0</v>
      </c>
      <c r="AH35" s="38">
        <f t="shared" si="15"/>
        <v>15868</v>
      </c>
      <c r="AI35" s="38">
        <f t="shared" si="15"/>
        <v>15868</v>
      </c>
      <c r="AJ35" s="38">
        <f t="shared" si="15"/>
        <v>0</v>
      </c>
      <c r="AK35" s="38">
        <f t="shared" si="15"/>
        <v>12535</v>
      </c>
      <c r="AL35" s="38">
        <f t="shared" si="15"/>
        <v>9740</v>
      </c>
      <c r="AM35" s="38">
        <f t="shared" si="15"/>
        <v>95254</v>
      </c>
      <c r="AN35" s="38">
        <f t="shared" si="15"/>
        <v>94208</v>
      </c>
      <c r="AO35" s="38">
        <f t="shared" si="15"/>
        <v>0</v>
      </c>
      <c r="AP35" s="38">
        <f t="shared" si="15"/>
        <v>0</v>
      </c>
      <c r="AQ35" s="38">
        <f t="shared" si="15"/>
        <v>553</v>
      </c>
      <c r="AR35" s="38">
        <f t="shared" si="15"/>
        <v>164</v>
      </c>
      <c r="AS35" s="38">
        <f t="shared" si="15"/>
        <v>95603</v>
      </c>
      <c r="AT35" s="38">
        <f>AT36+AT53</f>
        <v>94557</v>
      </c>
      <c r="AU35" s="184"/>
      <c r="AV35" s="184"/>
      <c r="AW35" s="141"/>
      <c r="AX35" s="79"/>
    </row>
    <row r="36" spans="1:53" s="144" customFormat="1" ht="47.25" x14ac:dyDescent="0.25">
      <c r="A36" s="167" t="s">
        <v>108</v>
      </c>
      <c r="B36" s="4" t="s">
        <v>133</v>
      </c>
      <c r="C36" s="142"/>
      <c r="D36" s="185"/>
      <c r="E36" s="186"/>
      <c r="F36" s="142"/>
      <c r="G36" s="101">
        <f t="shared" ref="G36:AM36" si="16">SUM(G37:G52)</f>
        <v>83944.4</v>
      </c>
      <c r="H36" s="101">
        <f t="shared" si="16"/>
        <v>83046.399999999994</v>
      </c>
      <c r="I36" s="101">
        <f t="shared" si="16"/>
        <v>0</v>
      </c>
      <c r="J36" s="101">
        <f t="shared" si="16"/>
        <v>0</v>
      </c>
      <c r="K36" s="101">
        <f t="shared" si="16"/>
        <v>0</v>
      </c>
      <c r="L36" s="101">
        <f t="shared" si="16"/>
        <v>0</v>
      </c>
      <c r="M36" s="101">
        <f t="shared" si="16"/>
        <v>0</v>
      </c>
      <c r="N36" s="101">
        <f t="shared" si="16"/>
        <v>0</v>
      </c>
      <c r="O36" s="101">
        <f t="shared" si="16"/>
        <v>0</v>
      </c>
      <c r="P36" s="101">
        <f t="shared" si="16"/>
        <v>67168</v>
      </c>
      <c r="Q36" s="101">
        <f t="shared" si="16"/>
        <v>67168</v>
      </c>
      <c r="R36" s="101">
        <f t="shared" si="16"/>
        <v>0</v>
      </c>
      <c r="S36" s="101">
        <f t="shared" si="16"/>
        <v>0</v>
      </c>
      <c r="T36" s="101">
        <f t="shared" si="16"/>
        <v>64168</v>
      </c>
      <c r="U36" s="101">
        <f t="shared" si="16"/>
        <v>64168</v>
      </c>
      <c r="V36" s="101">
        <f t="shared" si="16"/>
        <v>0</v>
      </c>
      <c r="W36" s="101">
        <f t="shared" si="16"/>
        <v>0</v>
      </c>
      <c r="X36" s="101">
        <f t="shared" si="16"/>
        <v>92617</v>
      </c>
      <c r="Y36" s="101">
        <f t="shared" si="16"/>
        <v>91633</v>
      </c>
      <c r="Z36" s="101">
        <f t="shared" si="16"/>
        <v>0</v>
      </c>
      <c r="AA36" s="101">
        <f t="shared" si="16"/>
        <v>0</v>
      </c>
      <c r="AB36" s="101">
        <f t="shared" si="16"/>
        <v>4540</v>
      </c>
      <c r="AC36" s="101">
        <f t="shared" si="16"/>
        <v>-2351</v>
      </c>
      <c r="AD36" s="101">
        <f t="shared" si="16"/>
        <v>5141</v>
      </c>
      <c r="AE36" s="101">
        <f t="shared" si="16"/>
        <v>5141</v>
      </c>
      <c r="AF36" s="101">
        <f t="shared" si="16"/>
        <v>0</v>
      </c>
      <c r="AG36" s="101">
        <f t="shared" si="16"/>
        <v>0</v>
      </c>
      <c r="AH36" s="101">
        <f t="shared" si="16"/>
        <v>15868</v>
      </c>
      <c r="AI36" s="101">
        <f t="shared" si="16"/>
        <v>15868</v>
      </c>
      <c r="AJ36" s="101">
        <f t="shared" si="16"/>
        <v>0</v>
      </c>
      <c r="AK36" s="101">
        <f t="shared" si="16"/>
        <v>0</v>
      </c>
      <c r="AL36" s="101">
        <f t="shared" si="16"/>
        <v>9740</v>
      </c>
      <c r="AM36" s="101">
        <f t="shared" si="16"/>
        <v>82607</v>
      </c>
      <c r="AN36" s="101">
        <f>SUM(AN37:AN52)</f>
        <v>81673</v>
      </c>
      <c r="AO36" s="101">
        <f t="shared" ref="AO36:AT36" si="17">SUM(AO37:AO52)</f>
        <v>0</v>
      </c>
      <c r="AP36" s="101">
        <f t="shared" si="17"/>
        <v>0</v>
      </c>
      <c r="AQ36" s="101">
        <f t="shared" si="17"/>
        <v>553</v>
      </c>
      <c r="AR36" s="101">
        <f t="shared" si="17"/>
        <v>164</v>
      </c>
      <c r="AS36" s="101">
        <f t="shared" si="17"/>
        <v>82956</v>
      </c>
      <c r="AT36" s="101">
        <f t="shared" si="17"/>
        <v>82022</v>
      </c>
      <c r="AU36" s="18"/>
      <c r="AV36" s="18"/>
      <c r="AW36" s="187"/>
      <c r="AX36" s="188"/>
    </row>
    <row r="37" spans="1:53" s="14" customFormat="1" ht="100.5" customHeight="1" x14ac:dyDescent="0.25">
      <c r="A37" s="15">
        <v>1</v>
      </c>
      <c r="B37" s="189" t="s">
        <v>134</v>
      </c>
      <c r="C37" s="57"/>
      <c r="D37" s="6" t="s">
        <v>135</v>
      </c>
      <c r="E37" s="7">
        <v>2016</v>
      </c>
      <c r="F37" s="41" t="s">
        <v>136</v>
      </c>
      <c r="G37" s="17">
        <v>2663.4</v>
      </c>
      <c r="H37" s="17">
        <f>G37</f>
        <v>2663.4</v>
      </c>
      <c r="I37" s="17"/>
      <c r="J37" s="17"/>
      <c r="K37" s="17"/>
      <c r="L37" s="17"/>
      <c r="M37" s="17"/>
      <c r="N37" s="17"/>
      <c r="O37" s="17"/>
      <c r="P37" s="17">
        <v>3368</v>
      </c>
      <c r="Q37" s="17">
        <v>3368</v>
      </c>
      <c r="R37" s="17"/>
      <c r="S37" s="17"/>
      <c r="T37" s="17">
        <v>3368</v>
      </c>
      <c r="U37" s="17">
        <v>3368</v>
      </c>
      <c r="V37" s="17"/>
      <c r="W37" s="17"/>
      <c r="X37" s="44">
        <f>Y37</f>
        <v>2660</v>
      </c>
      <c r="Y37" s="44">
        <v>2660</v>
      </c>
      <c r="Z37" s="17"/>
      <c r="AA37" s="17"/>
      <c r="AB37" s="17"/>
      <c r="AC37" s="17">
        <f t="shared" ref="AC37:AC42" si="18">Y37-U37</f>
        <v>-708</v>
      </c>
      <c r="AD37" s="44">
        <f t="shared" ref="AD37:AD42" si="19">AE37</f>
        <v>2660</v>
      </c>
      <c r="AE37" s="44">
        <v>2660</v>
      </c>
      <c r="AF37" s="17"/>
      <c r="AG37" s="17"/>
      <c r="AH37" s="44">
        <f t="shared" ref="AH37:AH48" si="20">AI37</f>
        <v>0</v>
      </c>
      <c r="AI37" s="44">
        <v>0</v>
      </c>
      <c r="AJ37" s="17"/>
      <c r="AK37" s="17"/>
      <c r="AL37" s="17"/>
      <c r="AM37" s="17">
        <f>AN37</f>
        <v>2660</v>
      </c>
      <c r="AN37" s="17">
        <v>2660</v>
      </c>
      <c r="AO37" s="17"/>
      <c r="AP37" s="17"/>
      <c r="AQ37" s="17"/>
      <c r="AR37" s="17"/>
      <c r="AS37" s="17">
        <f>AT37</f>
        <v>2660</v>
      </c>
      <c r="AT37" s="17">
        <v>2660</v>
      </c>
      <c r="AU37" s="17"/>
      <c r="AV37" s="17"/>
      <c r="AW37" s="10"/>
      <c r="AX37" s="19"/>
    </row>
    <row r="38" spans="1:53" s="14" customFormat="1" ht="78" customHeight="1" x14ac:dyDescent="0.25">
      <c r="A38" s="190">
        <v>2</v>
      </c>
      <c r="B38" s="180" t="s">
        <v>137</v>
      </c>
      <c r="C38" s="5" t="s">
        <v>63</v>
      </c>
      <c r="D38" s="5" t="s">
        <v>138</v>
      </c>
      <c r="E38" s="7" t="s">
        <v>70</v>
      </c>
      <c r="F38" s="10" t="s">
        <v>139</v>
      </c>
      <c r="G38" s="17">
        <v>9800</v>
      </c>
      <c r="H38" s="17">
        <v>9687</v>
      </c>
      <c r="I38" s="17"/>
      <c r="J38" s="17"/>
      <c r="K38" s="17"/>
      <c r="L38" s="17"/>
      <c r="M38" s="17"/>
      <c r="N38" s="17"/>
      <c r="O38" s="17"/>
      <c r="P38" s="17">
        <v>9800</v>
      </c>
      <c r="Q38" s="17">
        <v>9800</v>
      </c>
      <c r="R38" s="17"/>
      <c r="S38" s="17"/>
      <c r="T38" s="17">
        <v>9800</v>
      </c>
      <c r="U38" s="17">
        <v>9800</v>
      </c>
      <c r="V38" s="17"/>
      <c r="W38" s="17"/>
      <c r="X38" s="44">
        <f>Y38+113</f>
        <v>9800</v>
      </c>
      <c r="Y38" s="44">
        <v>9687</v>
      </c>
      <c r="Z38" s="17"/>
      <c r="AA38" s="17"/>
      <c r="AB38" s="17"/>
      <c r="AC38" s="17">
        <f t="shared" si="18"/>
        <v>-113</v>
      </c>
      <c r="AD38" s="44">
        <f t="shared" si="19"/>
        <v>660</v>
      </c>
      <c r="AE38" s="44">
        <v>660</v>
      </c>
      <c r="AF38" s="17"/>
      <c r="AG38" s="17"/>
      <c r="AH38" s="44">
        <f t="shared" si="20"/>
        <v>4198</v>
      </c>
      <c r="AI38" s="44">
        <v>4198</v>
      </c>
      <c r="AJ38" s="17"/>
      <c r="AK38" s="9"/>
      <c r="AL38" s="9">
        <f>Y38-AN38</f>
        <v>1823</v>
      </c>
      <c r="AM38" s="17">
        <f>AN38+113</f>
        <v>7977</v>
      </c>
      <c r="AN38" s="26">
        <f>9667-1803</f>
        <v>7864</v>
      </c>
      <c r="AO38" s="9"/>
      <c r="AP38" s="9"/>
      <c r="AQ38" s="9"/>
      <c r="AR38" s="9"/>
      <c r="AS38" s="17">
        <f>AT38+113</f>
        <v>7977</v>
      </c>
      <c r="AT38" s="9">
        <v>7864</v>
      </c>
      <c r="AU38" s="9"/>
      <c r="AV38" s="9"/>
      <c r="AW38" s="10"/>
      <c r="AX38" s="11"/>
      <c r="AY38" s="119"/>
      <c r="AZ38" s="13">
        <v>1</v>
      </c>
      <c r="BA38" s="13"/>
    </row>
    <row r="39" spans="1:53" s="14" customFormat="1" ht="47.25" x14ac:dyDescent="0.25">
      <c r="A39" s="15">
        <v>3</v>
      </c>
      <c r="B39" s="180" t="s">
        <v>140</v>
      </c>
      <c r="C39" s="5" t="s">
        <v>74</v>
      </c>
      <c r="D39" s="5" t="s">
        <v>141</v>
      </c>
      <c r="E39" s="7" t="s">
        <v>70</v>
      </c>
      <c r="F39" s="10" t="s">
        <v>142</v>
      </c>
      <c r="G39" s="17">
        <v>5000</v>
      </c>
      <c r="H39" s="17">
        <v>4950</v>
      </c>
      <c r="I39" s="17"/>
      <c r="J39" s="17"/>
      <c r="K39" s="17"/>
      <c r="L39" s="17"/>
      <c r="M39" s="17"/>
      <c r="N39" s="17"/>
      <c r="O39" s="17"/>
      <c r="P39" s="17">
        <v>5000</v>
      </c>
      <c r="Q39" s="17">
        <v>5000</v>
      </c>
      <c r="R39" s="17"/>
      <c r="S39" s="17"/>
      <c r="T39" s="17">
        <v>5000</v>
      </c>
      <c r="U39" s="17">
        <v>5000</v>
      </c>
      <c r="V39" s="17"/>
      <c r="W39" s="17"/>
      <c r="X39" s="44">
        <f>Y39+50</f>
        <v>5000</v>
      </c>
      <c r="Y39" s="44">
        <v>4950</v>
      </c>
      <c r="Z39" s="17"/>
      <c r="AA39" s="17"/>
      <c r="AB39" s="17"/>
      <c r="AC39" s="17">
        <f t="shared" si="18"/>
        <v>-50</v>
      </c>
      <c r="AD39" s="44">
        <f t="shared" si="19"/>
        <v>340</v>
      </c>
      <c r="AE39" s="44">
        <v>340</v>
      </c>
      <c r="AF39" s="17"/>
      <c r="AG39" s="17"/>
      <c r="AH39" s="44">
        <f t="shared" si="20"/>
        <v>2000</v>
      </c>
      <c r="AI39" s="44">
        <v>2000</v>
      </c>
      <c r="AJ39" s="17"/>
      <c r="AK39" s="9"/>
      <c r="AL39" s="9">
        <f t="shared" ref="AL39:AL46" si="21">Y39-AN39</f>
        <v>109</v>
      </c>
      <c r="AM39" s="17">
        <f>AN39+50</f>
        <v>4891</v>
      </c>
      <c r="AN39" s="26">
        <f>4944-103</f>
        <v>4841</v>
      </c>
      <c r="AO39" s="9"/>
      <c r="AP39" s="9"/>
      <c r="AQ39" s="396">
        <v>13</v>
      </c>
      <c r="AR39" s="395"/>
      <c r="AS39" s="391">
        <f>AT39+50</f>
        <v>4904</v>
      </c>
      <c r="AT39" s="395">
        <f>AN39+AQ39</f>
        <v>4854</v>
      </c>
      <c r="AU39" s="9"/>
      <c r="AV39" s="9"/>
      <c r="AW39" s="10"/>
      <c r="AX39" s="11">
        <v>43</v>
      </c>
      <c r="AY39" s="119"/>
      <c r="AZ39" s="13">
        <v>1</v>
      </c>
      <c r="BA39" s="13"/>
    </row>
    <row r="40" spans="1:53" s="14" customFormat="1" ht="47.25" x14ac:dyDescent="0.25">
      <c r="A40" s="190">
        <v>4</v>
      </c>
      <c r="B40" s="180" t="s">
        <v>143</v>
      </c>
      <c r="C40" s="5" t="s">
        <v>64</v>
      </c>
      <c r="D40" s="5" t="s">
        <v>144</v>
      </c>
      <c r="E40" s="7" t="s">
        <v>70</v>
      </c>
      <c r="F40" s="10" t="s">
        <v>145</v>
      </c>
      <c r="G40" s="17">
        <v>9700</v>
      </c>
      <c r="H40" s="17">
        <v>9599</v>
      </c>
      <c r="I40" s="17"/>
      <c r="J40" s="17"/>
      <c r="K40" s="17"/>
      <c r="L40" s="17"/>
      <c r="M40" s="17"/>
      <c r="N40" s="17"/>
      <c r="O40" s="17"/>
      <c r="P40" s="17">
        <v>9700</v>
      </c>
      <c r="Q40" s="17">
        <v>9700</v>
      </c>
      <c r="R40" s="17"/>
      <c r="S40" s="17"/>
      <c r="T40" s="17">
        <v>9700</v>
      </c>
      <c r="U40" s="17">
        <v>9700</v>
      </c>
      <c r="V40" s="17"/>
      <c r="W40" s="17"/>
      <c r="X40" s="44">
        <f>Y40+101</f>
        <v>9700</v>
      </c>
      <c r="Y40" s="44">
        <v>9599</v>
      </c>
      <c r="Z40" s="17"/>
      <c r="AA40" s="17"/>
      <c r="AB40" s="17"/>
      <c r="AC40" s="17">
        <f t="shared" si="18"/>
        <v>-101</v>
      </c>
      <c r="AD40" s="44">
        <f t="shared" si="19"/>
        <v>650</v>
      </c>
      <c r="AE40" s="44">
        <v>650</v>
      </c>
      <c r="AF40" s="17"/>
      <c r="AG40" s="17"/>
      <c r="AH40" s="44">
        <f t="shared" si="20"/>
        <v>4000</v>
      </c>
      <c r="AI40" s="44">
        <v>4000</v>
      </c>
      <c r="AJ40" s="17"/>
      <c r="AK40" s="9"/>
      <c r="AL40" s="9">
        <f t="shared" si="21"/>
        <v>548</v>
      </c>
      <c r="AM40" s="17">
        <f>AN40+101</f>
        <v>9152</v>
      </c>
      <c r="AN40" s="26">
        <f>8898+153</f>
        <v>9051</v>
      </c>
      <c r="AO40" s="9"/>
      <c r="AP40" s="9"/>
      <c r="AQ40" s="9"/>
      <c r="AR40" s="395"/>
      <c r="AS40" s="391">
        <f>AT40+101</f>
        <v>9152</v>
      </c>
      <c r="AT40" s="395">
        <v>9051</v>
      </c>
      <c r="AU40" s="9"/>
      <c r="AV40" s="9"/>
      <c r="AW40" s="10"/>
      <c r="AX40" s="11"/>
      <c r="AY40" s="119"/>
      <c r="AZ40" s="13">
        <v>1</v>
      </c>
      <c r="BA40" s="13"/>
    </row>
    <row r="41" spans="1:53" s="14" customFormat="1" ht="47.25" x14ac:dyDescent="0.25">
      <c r="A41" s="15">
        <v>5</v>
      </c>
      <c r="B41" s="180" t="s">
        <v>146</v>
      </c>
      <c r="C41" s="5" t="s">
        <v>76</v>
      </c>
      <c r="D41" s="5" t="s">
        <v>147</v>
      </c>
      <c r="E41" s="7" t="s">
        <v>70</v>
      </c>
      <c r="F41" s="10" t="s">
        <v>148</v>
      </c>
      <c r="G41" s="17">
        <v>8000</v>
      </c>
      <c r="H41" s="17">
        <v>7899</v>
      </c>
      <c r="I41" s="17"/>
      <c r="J41" s="17"/>
      <c r="K41" s="17"/>
      <c r="L41" s="17"/>
      <c r="M41" s="17"/>
      <c r="N41" s="17"/>
      <c r="O41" s="17"/>
      <c r="P41" s="17">
        <v>8000</v>
      </c>
      <c r="Q41" s="17">
        <v>8000</v>
      </c>
      <c r="R41" s="17"/>
      <c r="S41" s="17"/>
      <c r="T41" s="17">
        <v>8000</v>
      </c>
      <c r="U41" s="17">
        <v>8000</v>
      </c>
      <c r="V41" s="17"/>
      <c r="W41" s="17"/>
      <c r="X41" s="44">
        <f>Y41+101</f>
        <v>8000</v>
      </c>
      <c r="Y41" s="44">
        <v>7899</v>
      </c>
      <c r="Z41" s="17"/>
      <c r="AA41" s="17"/>
      <c r="AB41" s="17"/>
      <c r="AC41" s="17">
        <f t="shared" si="18"/>
        <v>-101</v>
      </c>
      <c r="AD41" s="44">
        <f t="shared" si="19"/>
        <v>540</v>
      </c>
      <c r="AE41" s="44">
        <v>540</v>
      </c>
      <c r="AF41" s="17"/>
      <c r="AG41" s="17"/>
      <c r="AH41" s="44">
        <f t="shared" si="20"/>
        <v>3250</v>
      </c>
      <c r="AI41" s="44">
        <v>3250</v>
      </c>
      <c r="AJ41" s="17"/>
      <c r="AK41" s="9"/>
      <c r="AL41" s="9">
        <f t="shared" si="21"/>
        <v>599</v>
      </c>
      <c r="AM41" s="17">
        <f>AN41+101</f>
        <v>7401</v>
      </c>
      <c r="AN41" s="26">
        <f>7628-328</f>
        <v>7300</v>
      </c>
      <c r="AO41" s="9"/>
      <c r="AP41" s="9"/>
      <c r="AQ41" s="9"/>
      <c r="AR41" s="9"/>
      <c r="AS41" s="17">
        <f>AT41+101</f>
        <v>7401</v>
      </c>
      <c r="AT41" s="9">
        <v>7300</v>
      </c>
      <c r="AU41" s="9"/>
      <c r="AV41" s="9"/>
      <c r="AW41" s="10"/>
      <c r="AX41" s="11"/>
      <c r="AY41" s="119"/>
      <c r="AZ41" s="13">
        <v>1</v>
      </c>
      <c r="BA41" s="13"/>
    </row>
    <row r="42" spans="1:53" s="14" customFormat="1" ht="47.25" x14ac:dyDescent="0.25">
      <c r="A42" s="190">
        <v>6</v>
      </c>
      <c r="B42" s="180" t="s">
        <v>149</v>
      </c>
      <c r="C42" s="5" t="s">
        <v>67</v>
      </c>
      <c r="D42" s="5" t="s">
        <v>150</v>
      </c>
      <c r="E42" s="7" t="s">
        <v>70</v>
      </c>
      <c r="F42" s="10" t="s">
        <v>151</v>
      </c>
      <c r="G42" s="17">
        <v>4265</v>
      </c>
      <c r="H42" s="17">
        <v>4222</v>
      </c>
      <c r="I42" s="17"/>
      <c r="J42" s="17"/>
      <c r="K42" s="17"/>
      <c r="L42" s="17"/>
      <c r="M42" s="17"/>
      <c r="N42" s="17"/>
      <c r="O42" s="17"/>
      <c r="P42" s="17">
        <v>5500</v>
      </c>
      <c r="Q42" s="17">
        <v>5500</v>
      </c>
      <c r="R42" s="17"/>
      <c r="S42" s="17"/>
      <c r="T42" s="17">
        <v>5500</v>
      </c>
      <c r="U42" s="17">
        <v>5500</v>
      </c>
      <c r="V42" s="17"/>
      <c r="W42" s="17"/>
      <c r="X42" s="44">
        <f>Y42+43</f>
        <v>4265</v>
      </c>
      <c r="Y42" s="44">
        <v>4222</v>
      </c>
      <c r="Z42" s="17"/>
      <c r="AA42" s="17"/>
      <c r="AB42" s="17"/>
      <c r="AC42" s="17">
        <f t="shared" si="18"/>
        <v>-1278</v>
      </c>
      <c r="AD42" s="44">
        <f t="shared" si="19"/>
        <v>291</v>
      </c>
      <c r="AE42" s="44">
        <v>291</v>
      </c>
      <c r="AF42" s="17"/>
      <c r="AG42" s="17"/>
      <c r="AH42" s="44">
        <f t="shared" si="20"/>
        <v>1750</v>
      </c>
      <c r="AI42" s="44">
        <v>1750</v>
      </c>
      <c r="AJ42" s="17"/>
      <c r="AK42" s="9"/>
      <c r="AL42" s="9">
        <f t="shared" si="21"/>
        <v>100</v>
      </c>
      <c r="AM42" s="17">
        <f>AN42+43</f>
        <v>4165</v>
      </c>
      <c r="AN42" s="26">
        <f>4213-91</f>
        <v>4122</v>
      </c>
      <c r="AO42" s="9"/>
      <c r="AP42" s="9"/>
      <c r="AQ42" s="395">
        <v>3</v>
      </c>
      <c r="AR42" s="395"/>
      <c r="AS42" s="391">
        <f>AT42+43</f>
        <v>4168</v>
      </c>
      <c r="AT42" s="395">
        <f>AN42+AQ42</f>
        <v>4125</v>
      </c>
      <c r="AU42" s="9"/>
      <c r="AV42" s="9"/>
      <c r="AW42" s="10"/>
      <c r="AX42" s="11"/>
      <c r="AY42" s="119"/>
      <c r="AZ42" s="13">
        <v>1</v>
      </c>
      <c r="BA42" s="13"/>
    </row>
    <row r="43" spans="1:53" s="14" customFormat="1" ht="47.25" x14ac:dyDescent="0.25">
      <c r="A43" s="15">
        <v>7</v>
      </c>
      <c r="B43" s="191" t="s">
        <v>152</v>
      </c>
      <c r="C43" s="5" t="s">
        <v>74</v>
      </c>
      <c r="D43" s="179" t="s">
        <v>153</v>
      </c>
      <c r="E43" s="192" t="s">
        <v>154</v>
      </c>
      <c r="F43" s="10" t="s">
        <v>155</v>
      </c>
      <c r="G43" s="17">
        <v>4500</v>
      </c>
      <c r="H43" s="17">
        <v>4450</v>
      </c>
      <c r="I43" s="17"/>
      <c r="J43" s="17"/>
      <c r="K43" s="17"/>
      <c r="L43" s="17"/>
      <c r="M43" s="17"/>
      <c r="N43" s="17"/>
      <c r="O43" s="17"/>
      <c r="P43" s="17">
        <v>4000</v>
      </c>
      <c r="Q43" s="17">
        <v>4000</v>
      </c>
      <c r="R43" s="17"/>
      <c r="S43" s="17"/>
      <c r="T43" s="17">
        <v>4000</v>
      </c>
      <c r="U43" s="17">
        <v>4000</v>
      </c>
      <c r="V43" s="17"/>
      <c r="W43" s="17"/>
      <c r="X43" s="44">
        <f>Y43+62</f>
        <v>6226</v>
      </c>
      <c r="Y43" s="44">
        <v>6164</v>
      </c>
      <c r="Z43" s="17"/>
      <c r="AA43" s="17"/>
      <c r="AB43" s="17">
        <f>Y43-U43</f>
        <v>2164</v>
      </c>
      <c r="AC43" s="17"/>
      <c r="AD43" s="17"/>
      <c r="AE43" s="17"/>
      <c r="AF43" s="17"/>
      <c r="AG43" s="17"/>
      <c r="AH43" s="44">
        <f t="shared" si="20"/>
        <v>150</v>
      </c>
      <c r="AI43" s="44">
        <v>150</v>
      </c>
      <c r="AJ43" s="17"/>
      <c r="AK43" s="9"/>
      <c r="AL43" s="9">
        <f>Y43-AN43</f>
        <v>2046</v>
      </c>
      <c r="AM43" s="17">
        <f>AN43+62</f>
        <v>4180</v>
      </c>
      <c r="AN43" s="17">
        <v>4118</v>
      </c>
      <c r="AO43" s="9"/>
      <c r="AP43" s="9"/>
      <c r="AQ43" s="9">
        <v>332</v>
      </c>
      <c r="AR43" s="9"/>
      <c r="AS43" s="17">
        <f>AT43+62</f>
        <v>4512</v>
      </c>
      <c r="AT43" s="9">
        <f>AN43+AQ43</f>
        <v>4450</v>
      </c>
      <c r="AU43" s="9"/>
      <c r="AV43" s="9"/>
      <c r="AW43" s="97"/>
      <c r="AX43" s="11"/>
      <c r="AZ43" s="13">
        <v>1</v>
      </c>
      <c r="BA43" s="13"/>
    </row>
    <row r="44" spans="1:53" s="14" customFormat="1" ht="47.25" x14ac:dyDescent="0.25">
      <c r="A44" s="190">
        <v>8</v>
      </c>
      <c r="B44" s="191" t="s">
        <v>156</v>
      </c>
      <c r="C44" s="5" t="s">
        <v>71</v>
      </c>
      <c r="D44" s="179" t="s">
        <v>116</v>
      </c>
      <c r="E44" s="192" t="s">
        <v>154</v>
      </c>
      <c r="F44" s="10" t="s">
        <v>157</v>
      </c>
      <c r="G44" s="17">
        <v>4500</v>
      </c>
      <c r="H44" s="17">
        <v>4455</v>
      </c>
      <c r="I44" s="17"/>
      <c r="J44" s="17"/>
      <c r="K44" s="17"/>
      <c r="L44" s="17"/>
      <c r="M44" s="17"/>
      <c r="N44" s="17"/>
      <c r="O44" s="17"/>
      <c r="P44" s="17">
        <v>6000</v>
      </c>
      <c r="Q44" s="17">
        <v>6000</v>
      </c>
      <c r="R44" s="17"/>
      <c r="S44" s="17"/>
      <c r="T44" s="17">
        <v>6000</v>
      </c>
      <c r="U44" s="17">
        <v>6000</v>
      </c>
      <c r="V44" s="17"/>
      <c r="W44" s="17"/>
      <c r="X44" s="44">
        <f>Y44+45</f>
        <v>4500</v>
      </c>
      <c r="Y44" s="44">
        <v>4455</v>
      </c>
      <c r="Z44" s="17"/>
      <c r="AA44" s="17"/>
      <c r="AB44" s="17"/>
      <c r="AC44" s="17"/>
      <c r="AD44" s="17"/>
      <c r="AE44" s="17"/>
      <c r="AF44" s="17"/>
      <c r="AG44" s="17"/>
      <c r="AH44" s="44">
        <f t="shared" si="20"/>
        <v>120</v>
      </c>
      <c r="AI44" s="44">
        <v>120</v>
      </c>
      <c r="AJ44" s="17"/>
      <c r="AK44" s="9"/>
      <c r="AL44" s="9">
        <f t="shared" si="21"/>
        <v>154</v>
      </c>
      <c r="AM44" s="17">
        <f>AN44+45</f>
        <v>4346</v>
      </c>
      <c r="AN44" s="17">
        <v>4301</v>
      </c>
      <c r="AO44" s="9"/>
      <c r="AP44" s="9"/>
      <c r="AQ44" s="9">
        <f>4450-AN44</f>
        <v>149</v>
      </c>
      <c r="AR44" s="9"/>
      <c r="AS44" s="17">
        <f>AT44+45</f>
        <v>4495</v>
      </c>
      <c r="AT44" s="9">
        <f t="shared" ref="AT44:AT46" si="22">AN44+AQ44</f>
        <v>4450</v>
      </c>
      <c r="AU44" s="9"/>
      <c r="AV44" s="9"/>
      <c r="AW44" s="10"/>
      <c r="AX44" s="11"/>
      <c r="AZ44" s="13">
        <v>1</v>
      </c>
      <c r="BA44" s="13"/>
    </row>
    <row r="45" spans="1:53" s="14" customFormat="1" ht="47.25" x14ac:dyDescent="0.25">
      <c r="A45" s="15">
        <v>9</v>
      </c>
      <c r="B45" s="191" t="s">
        <v>158</v>
      </c>
      <c r="C45" s="5" t="s">
        <v>68</v>
      </c>
      <c r="D45" s="193" t="s">
        <v>159</v>
      </c>
      <c r="E45" s="192" t="s">
        <v>154</v>
      </c>
      <c r="F45" s="10" t="s">
        <v>160</v>
      </c>
      <c r="G45" s="17">
        <v>2410</v>
      </c>
      <c r="H45" s="17">
        <v>2387</v>
      </c>
      <c r="I45" s="17"/>
      <c r="J45" s="17"/>
      <c r="K45" s="17"/>
      <c r="L45" s="17"/>
      <c r="M45" s="17"/>
      <c r="N45" s="17"/>
      <c r="O45" s="17"/>
      <c r="P45" s="17">
        <v>3200</v>
      </c>
      <c r="Q45" s="17">
        <v>3200</v>
      </c>
      <c r="R45" s="17"/>
      <c r="S45" s="17"/>
      <c r="T45" s="17">
        <v>3200</v>
      </c>
      <c r="U45" s="17">
        <v>3200</v>
      </c>
      <c r="V45" s="17"/>
      <c r="W45" s="17"/>
      <c r="X45" s="44">
        <f>Y45+23</f>
        <v>2410</v>
      </c>
      <c r="Y45" s="44">
        <v>2387</v>
      </c>
      <c r="Z45" s="17"/>
      <c r="AA45" s="17"/>
      <c r="AB45" s="17"/>
      <c r="AC45" s="17"/>
      <c r="AD45" s="17"/>
      <c r="AE45" s="17"/>
      <c r="AF45" s="17"/>
      <c r="AG45" s="17"/>
      <c r="AH45" s="44">
        <f t="shared" si="20"/>
        <v>100</v>
      </c>
      <c r="AI45" s="44">
        <v>100</v>
      </c>
      <c r="AJ45" s="17"/>
      <c r="AK45" s="9"/>
      <c r="AL45" s="9">
        <f t="shared" si="21"/>
        <v>35</v>
      </c>
      <c r="AM45" s="17">
        <f>AN45+23</f>
        <v>2375</v>
      </c>
      <c r="AN45" s="17">
        <v>2352</v>
      </c>
      <c r="AO45" s="9"/>
      <c r="AP45" s="9"/>
      <c r="AQ45" s="9">
        <f>2380-AN45</f>
        <v>28</v>
      </c>
      <c r="AR45" s="9"/>
      <c r="AS45" s="17">
        <f>AT45+23</f>
        <v>2403</v>
      </c>
      <c r="AT45" s="9">
        <f t="shared" si="22"/>
        <v>2380</v>
      </c>
      <c r="AU45" s="9"/>
      <c r="AV45" s="9"/>
      <c r="AW45" s="10"/>
      <c r="AX45" s="11"/>
      <c r="AZ45" s="13">
        <v>1</v>
      </c>
      <c r="BA45" s="13"/>
    </row>
    <row r="46" spans="1:53" s="14" customFormat="1" ht="47.25" x14ac:dyDescent="0.25">
      <c r="A46" s="190">
        <v>10</v>
      </c>
      <c r="B46" s="191" t="s">
        <v>161</v>
      </c>
      <c r="C46" s="5" t="s">
        <v>73</v>
      </c>
      <c r="D46" s="193" t="s">
        <v>159</v>
      </c>
      <c r="E46" s="192" t="s">
        <v>154</v>
      </c>
      <c r="F46" s="10" t="s">
        <v>162</v>
      </c>
      <c r="G46" s="17">
        <v>2442</v>
      </c>
      <c r="H46" s="17">
        <v>2418</v>
      </c>
      <c r="I46" s="17"/>
      <c r="J46" s="17"/>
      <c r="K46" s="17"/>
      <c r="L46" s="17"/>
      <c r="M46" s="17"/>
      <c r="N46" s="17"/>
      <c r="O46" s="17"/>
      <c r="P46" s="17">
        <v>3200</v>
      </c>
      <c r="Q46" s="17">
        <v>3200</v>
      </c>
      <c r="R46" s="17"/>
      <c r="S46" s="17"/>
      <c r="T46" s="17">
        <v>3200</v>
      </c>
      <c r="U46" s="17">
        <v>3200</v>
      </c>
      <c r="V46" s="17"/>
      <c r="W46" s="17"/>
      <c r="X46" s="44">
        <f>Y46+24</f>
        <v>2442</v>
      </c>
      <c r="Y46" s="44">
        <v>2418</v>
      </c>
      <c r="Z46" s="17"/>
      <c r="AA46" s="17"/>
      <c r="AB46" s="17"/>
      <c r="AC46" s="17"/>
      <c r="AD46" s="17"/>
      <c r="AE46" s="17"/>
      <c r="AF46" s="17"/>
      <c r="AG46" s="17"/>
      <c r="AH46" s="44">
        <f t="shared" si="20"/>
        <v>100</v>
      </c>
      <c r="AI46" s="44">
        <v>100</v>
      </c>
      <c r="AJ46" s="17"/>
      <c r="AK46" s="9"/>
      <c r="AL46" s="9">
        <f t="shared" si="21"/>
        <v>46</v>
      </c>
      <c r="AM46" s="17">
        <f>AN46+24</f>
        <v>2396</v>
      </c>
      <c r="AN46" s="17">
        <v>2372</v>
      </c>
      <c r="AO46" s="9"/>
      <c r="AP46" s="9"/>
      <c r="AQ46" s="9">
        <f>2400-AN46</f>
        <v>28</v>
      </c>
      <c r="AR46" s="9"/>
      <c r="AS46" s="17">
        <f>AT46+24</f>
        <v>2424</v>
      </c>
      <c r="AT46" s="9">
        <f t="shared" si="22"/>
        <v>2400</v>
      </c>
      <c r="AU46" s="9"/>
      <c r="AV46" s="9"/>
      <c r="AW46" s="10"/>
      <c r="AX46" s="11"/>
      <c r="AZ46" s="13">
        <v>1</v>
      </c>
      <c r="BA46" s="13"/>
    </row>
    <row r="47" spans="1:53" s="14" customFormat="1" ht="47.25" x14ac:dyDescent="0.25">
      <c r="A47" s="15">
        <v>11</v>
      </c>
      <c r="B47" s="191" t="s">
        <v>163</v>
      </c>
      <c r="C47" s="5" t="s">
        <v>75</v>
      </c>
      <c r="D47" s="193" t="s">
        <v>159</v>
      </c>
      <c r="E47" s="192" t="s">
        <v>154</v>
      </c>
      <c r="F47" s="10" t="s">
        <v>164</v>
      </c>
      <c r="G47" s="17">
        <v>2442</v>
      </c>
      <c r="H47" s="17">
        <v>2418</v>
      </c>
      <c r="I47" s="17"/>
      <c r="J47" s="17"/>
      <c r="K47" s="17"/>
      <c r="L47" s="17"/>
      <c r="M47" s="17"/>
      <c r="N47" s="17"/>
      <c r="O47" s="17"/>
      <c r="P47" s="17">
        <v>3200</v>
      </c>
      <c r="Q47" s="17">
        <v>3200</v>
      </c>
      <c r="R47" s="17"/>
      <c r="S47" s="17"/>
      <c r="T47" s="17">
        <v>3200</v>
      </c>
      <c r="U47" s="17">
        <v>3200</v>
      </c>
      <c r="V47" s="17"/>
      <c r="W47" s="17"/>
      <c r="X47" s="44">
        <f>Y47+24</f>
        <v>2442</v>
      </c>
      <c r="Y47" s="44">
        <v>2418</v>
      </c>
      <c r="Z47" s="17"/>
      <c r="AA47" s="17"/>
      <c r="AB47" s="17"/>
      <c r="AC47" s="17"/>
      <c r="AD47" s="17"/>
      <c r="AE47" s="17"/>
      <c r="AF47" s="17"/>
      <c r="AG47" s="17"/>
      <c r="AH47" s="44">
        <f t="shared" si="20"/>
        <v>100</v>
      </c>
      <c r="AI47" s="44">
        <v>100</v>
      </c>
      <c r="AJ47" s="17"/>
      <c r="AK47" s="9"/>
      <c r="AL47" s="9"/>
      <c r="AM47" s="17">
        <f>AN47+24</f>
        <v>2442</v>
      </c>
      <c r="AN47" s="17">
        <v>2418</v>
      </c>
      <c r="AO47" s="9"/>
      <c r="AP47" s="9"/>
      <c r="AQ47" s="9"/>
      <c r="AR47" s="9">
        <v>10</v>
      </c>
      <c r="AS47" s="17">
        <f>AT47+24</f>
        <v>2432</v>
      </c>
      <c r="AT47" s="9">
        <f>AN47-AR47</f>
        <v>2408</v>
      </c>
      <c r="AU47" s="9"/>
      <c r="AV47" s="9"/>
      <c r="AW47" s="10"/>
      <c r="AX47" s="11"/>
      <c r="AZ47" s="13"/>
      <c r="BA47" s="13"/>
    </row>
    <row r="48" spans="1:53" s="14" customFormat="1" ht="47.25" x14ac:dyDescent="0.25">
      <c r="A48" s="190">
        <v>12</v>
      </c>
      <c r="B48" s="191" t="s">
        <v>165</v>
      </c>
      <c r="C48" s="5" t="s">
        <v>77</v>
      </c>
      <c r="D48" s="193" t="s">
        <v>159</v>
      </c>
      <c r="E48" s="192" t="s">
        <v>154</v>
      </c>
      <c r="F48" s="10" t="s">
        <v>166</v>
      </c>
      <c r="G48" s="194">
        <v>2442</v>
      </c>
      <c r="H48" s="194">
        <v>2418</v>
      </c>
      <c r="I48" s="17"/>
      <c r="J48" s="17"/>
      <c r="K48" s="17"/>
      <c r="L48" s="17"/>
      <c r="M48" s="17"/>
      <c r="N48" s="17"/>
      <c r="O48" s="17"/>
      <c r="P48" s="17">
        <v>3200</v>
      </c>
      <c r="Q48" s="17">
        <v>3200</v>
      </c>
      <c r="R48" s="17"/>
      <c r="S48" s="17"/>
      <c r="T48" s="17">
        <v>3200</v>
      </c>
      <c r="U48" s="17">
        <v>3200</v>
      </c>
      <c r="V48" s="17"/>
      <c r="W48" s="17"/>
      <c r="X48" s="44">
        <f>Y48+24</f>
        <v>2442</v>
      </c>
      <c r="Y48" s="44">
        <v>2418</v>
      </c>
      <c r="Z48" s="17"/>
      <c r="AA48" s="17"/>
      <c r="AB48" s="17"/>
      <c r="AC48" s="17"/>
      <c r="AD48" s="17"/>
      <c r="AE48" s="17"/>
      <c r="AF48" s="17"/>
      <c r="AG48" s="17"/>
      <c r="AH48" s="44">
        <f t="shared" si="20"/>
        <v>100</v>
      </c>
      <c r="AI48" s="44">
        <v>100</v>
      </c>
      <c r="AJ48" s="17"/>
      <c r="AK48" s="9"/>
      <c r="AL48" s="9"/>
      <c r="AM48" s="17">
        <f>AN48+24</f>
        <v>2442</v>
      </c>
      <c r="AN48" s="17">
        <v>2418</v>
      </c>
      <c r="AO48" s="9"/>
      <c r="AP48" s="9"/>
      <c r="AQ48" s="9"/>
      <c r="AR48" s="9">
        <v>8</v>
      </c>
      <c r="AS48" s="17">
        <f>AT48+24</f>
        <v>2434</v>
      </c>
      <c r="AT48" s="9">
        <f>AN48-AR48</f>
        <v>2410</v>
      </c>
      <c r="AU48" s="9"/>
      <c r="AV48" s="9"/>
      <c r="AW48" s="10"/>
      <c r="AX48" s="11"/>
      <c r="AZ48" s="13"/>
      <c r="BA48" s="13"/>
    </row>
    <row r="49" spans="1:54" s="14" customFormat="1" ht="34.5" customHeight="1" x14ac:dyDescent="0.25">
      <c r="A49" s="15">
        <v>13</v>
      </c>
      <c r="B49" s="195" t="s">
        <v>167</v>
      </c>
      <c r="C49" s="5" t="s">
        <v>63</v>
      </c>
      <c r="D49" s="193"/>
      <c r="E49" s="7"/>
      <c r="F49" s="10"/>
      <c r="G49" s="194"/>
      <c r="H49" s="194"/>
      <c r="I49" s="17"/>
      <c r="J49" s="17"/>
      <c r="K49" s="17"/>
      <c r="L49" s="17"/>
      <c r="M49" s="17"/>
      <c r="N49" s="17"/>
      <c r="O49" s="17"/>
      <c r="P49" s="17">
        <v>3000</v>
      </c>
      <c r="Q49" s="17">
        <v>3000</v>
      </c>
      <c r="R49" s="17"/>
      <c r="S49" s="17"/>
      <c r="T49" s="17">
        <v>0</v>
      </c>
      <c r="U49" s="17">
        <v>0</v>
      </c>
      <c r="V49" s="17"/>
      <c r="W49" s="17"/>
      <c r="X49" s="44">
        <f>Y49+24</f>
        <v>2400</v>
      </c>
      <c r="Y49" s="44">
        <v>2376</v>
      </c>
      <c r="Z49" s="17"/>
      <c r="AA49" s="17"/>
      <c r="AB49" s="17">
        <f>Y49-U49</f>
        <v>2376</v>
      </c>
      <c r="AC49" s="17"/>
      <c r="AD49" s="17"/>
      <c r="AE49" s="17"/>
      <c r="AF49" s="17"/>
      <c r="AG49" s="17"/>
      <c r="AH49" s="17"/>
      <c r="AI49" s="17"/>
      <c r="AJ49" s="17"/>
      <c r="AK49" s="9"/>
      <c r="AL49" s="9"/>
      <c r="AM49" s="17">
        <f>AN49+24</f>
        <v>2400</v>
      </c>
      <c r="AN49" s="17">
        <v>2376</v>
      </c>
      <c r="AO49" s="9"/>
      <c r="AP49" s="9"/>
      <c r="AQ49" s="9"/>
      <c r="AR49" s="9">
        <v>26</v>
      </c>
      <c r="AS49" s="17">
        <f>AT49+24</f>
        <v>2374</v>
      </c>
      <c r="AT49" s="9">
        <f>AN49-AR49</f>
        <v>2350</v>
      </c>
      <c r="AU49" s="9"/>
      <c r="AV49" s="9"/>
      <c r="AW49" s="10"/>
      <c r="AX49" s="19"/>
      <c r="AZ49" s="13"/>
      <c r="BA49" s="13"/>
    </row>
    <row r="50" spans="1:54" s="14" customFormat="1" ht="79.5" customHeight="1" x14ac:dyDescent="0.25">
      <c r="A50" s="190">
        <v>14</v>
      </c>
      <c r="B50" s="16" t="s">
        <v>168</v>
      </c>
      <c r="C50" s="5" t="s">
        <v>71</v>
      </c>
      <c r="D50" s="6" t="s">
        <v>169</v>
      </c>
      <c r="E50" s="196" t="s">
        <v>52</v>
      </c>
      <c r="F50" s="137" t="s">
        <v>567</v>
      </c>
      <c r="G50" s="2">
        <v>9340</v>
      </c>
      <c r="H50" s="2">
        <v>9240</v>
      </c>
      <c r="I50" s="17"/>
      <c r="J50" s="17"/>
      <c r="K50" s="17"/>
      <c r="L50" s="17"/>
      <c r="M50" s="17"/>
      <c r="N50" s="17"/>
      <c r="O50" s="17"/>
      <c r="P50" s="17"/>
      <c r="Q50" s="17"/>
      <c r="R50" s="17"/>
      <c r="S50" s="17"/>
      <c r="T50" s="17"/>
      <c r="U50" s="17"/>
      <c r="V50" s="17"/>
      <c r="W50" s="17"/>
      <c r="X50" s="44">
        <f>Y50+100</f>
        <v>9500</v>
      </c>
      <c r="Y50" s="44">
        <v>9400</v>
      </c>
      <c r="Z50" s="17"/>
      <c r="AA50" s="17"/>
      <c r="AB50" s="17"/>
      <c r="AC50" s="17"/>
      <c r="AD50" s="17"/>
      <c r="AE50" s="17"/>
      <c r="AF50" s="17"/>
      <c r="AG50" s="17"/>
      <c r="AH50" s="17"/>
      <c r="AI50" s="17"/>
      <c r="AJ50" s="17"/>
      <c r="AK50" s="9"/>
      <c r="AL50" s="9"/>
      <c r="AM50" s="17">
        <f>AN50+100</f>
        <v>9340</v>
      </c>
      <c r="AN50" s="197">
        <f>9400-160</f>
        <v>9240</v>
      </c>
      <c r="AO50" s="9"/>
      <c r="AP50" s="9"/>
      <c r="AQ50" s="9"/>
      <c r="AR50" s="9"/>
      <c r="AS50" s="17">
        <f>AT50+100</f>
        <v>9300</v>
      </c>
      <c r="AT50" s="9">
        <v>9200</v>
      </c>
      <c r="AU50" s="9"/>
      <c r="AV50" s="9"/>
      <c r="AW50" s="10"/>
      <c r="AX50" s="11"/>
      <c r="AY50" s="12"/>
      <c r="AZ50" s="13"/>
      <c r="BA50" s="13"/>
    </row>
    <row r="51" spans="1:54" s="14" customFormat="1" ht="78.75" x14ac:dyDescent="0.25">
      <c r="A51" s="15">
        <v>15</v>
      </c>
      <c r="B51" s="16" t="s">
        <v>170</v>
      </c>
      <c r="C51" s="5" t="s">
        <v>171</v>
      </c>
      <c r="D51" s="6" t="s">
        <v>172</v>
      </c>
      <c r="E51" s="196" t="s">
        <v>52</v>
      </c>
      <c r="F51" s="137" t="s">
        <v>568</v>
      </c>
      <c r="G51" s="2">
        <v>7940</v>
      </c>
      <c r="H51" s="2">
        <v>7820</v>
      </c>
      <c r="I51" s="17"/>
      <c r="J51" s="17"/>
      <c r="K51" s="17"/>
      <c r="L51" s="17"/>
      <c r="M51" s="17"/>
      <c r="N51" s="17"/>
      <c r="O51" s="17"/>
      <c r="P51" s="17"/>
      <c r="Q51" s="17"/>
      <c r="R51" s="17"/>
      <c r="S51" s="17"/>
      <c r="T51" s="17"/>
      <c r="U51" s="17"/>
      <c r="V51" s="17"/>
      <c r="W51" s="17"/>
      <c r="X51" s="44">
        <f>Y51+120</f>
        <v>8000</v>
      </c>
      <c r="Y51" s="44">
        <v>7880</v>
      </c>
      <c r="Z51" s="17"/>
      <c r="AA51" s="17"/>
      <c r="AB51" s="17"/>
      <c r="AC51" s="17"/>
      <c r="AD51" s="17"/>
      <c r="AE51" s="17"/>
      <c r="AF51" s="17"/>
      <c r="AG51" s="17"/>
      <c r="AH51" s="17"/>
      <c r="AI51" s="17"/>
      <c r="AJ51" s="17"/>
      <c r="AK51" s="9"/>
      <c r="AL51" s="9"/>
      <c r="AM51" s="17">
        <f>AN51+120</f>
        <v>7940</v>
      </c>
      <c r="AN51" s="197">
        <f>7880-60</f>
        <v>7820</v>
      </c>
      <c r="AO51" s="9"/>
      <c r="AP51" s="9"/>
      <c r="AQ51" s="9"/>
      <c r="AR51" s="9">
        <f>AN51-7700</f>
        <v>120</v>
      </c>
      <c r="AS51" s="17">
        <f>AT51+120</f>
        <v>7820</v>
      </c>
      <c r="AT51" s="9">
        <f>AN51-AR51</f>
        <v>7700</v>
      </c>
      <c r="AU51" s="9"/>
      <c r="AV51" s="9"/>
      <c r="AW51" s="10"/>
      <c r="AX51" s="11"/>
      <c r="AY51" s="12"/>
      <c r="AZ51" s="13"/>
      <c r="BA51" s="13"/>
    </row>
    <row r="52" spans="1:54" s="14" customFormat="1" ht="102" customHeight="1" x14ac:dyDescent="0.25">
      <c r="A52" s="190">
        <v>16</v>
      </c>
      <c r="B52" s="16" t="s">
        <v>173</v>
      </c>
      <c r="C52" s="5" t="s">
        <v>174</v>
      </c>
      <c r="D52" s="6" t="s">
        <v>175</v>
      </c>
      <c r="E52" s="196" t="s">
        <v>52</v>
      </c>
      <c r="F52" s="1" t="s">
        <v>566</v>
      </c>
      <c r="G52" s="2">
        <v>8500</v>
      </c>
      <c r="H52" s="2">
        <v>8420</v>
      </c>
      <c r="I52" s="17"/>
      <c r="J52" s="17"/>
      <c r="K52" s="17"/>
      <c r="L52" s="17"/>
      <c r="M52" s="17"/>
      <c r="N52" s="17"/>
      <c r="O52" s="17"/>
      <c r="P52" s="17"/>
      <c r="Q52" s="17"/>
      <c r="R52" s="17"/>
      <c r="S52" s="17"/>
      <c r="T52" s="17"/>
      <c r="U52" s="17"/>
      <c r="V52" s="17"/>
      <c r="W52" s="17"/>
      <c r="X52" s="17">
        <f>Y52+130</f>
        <v>12830</v>
      </c>
      <c r="Y52" s="198">
        <v>12700</v>
      </c>
      <c r="Z52" s="17"/>
      <c r="AA52" s="17"/>
      <c r="AB52" s="17"/>
      <c r="AC52" s="17"/>
      <c r="AD52" s="17"/>
      <c r="AE52" s="17"/>
      <c r="AF52" s="17"/>
      <c r="AG52" s="17"/>
      <c r="AH52" s="17"/>
      <c r="AI52" s="17"/>
      <c r="AJ52" s="17"/>
      <c r="AK52" s="9"/>
      <c r="AL52" s="9">
        <v>4280</v>
      </c>
      <c r="AM52" s="17">
        <f>AN52+80</f>
        <v>8500</v>
      </c>
      <c r="AN52" s="17">
        <f>Y52-AL52</f>
        <v>8420</v>
      </c>
      <c r="AO52" s="9"/>
      <c r="AP52" s="9"/>
      <c r="AQ52" s="9"/>
      <c r="AR52" s="9"/>
      <c r="AS52" s="17">
        <f>AT52+80</f>
        <v>8500</v>
      </c>
      <c r="AT52" s="9">
        <v>8420</v>
      </c>
      <c r="AU52" s="9"/>
      <c r="AV52" s="9"/>
      <c r="AW52" s="10"/>
      <c r="AX52" s="11"/>
      <c r="AY52" s="12"/>
      <c r="AZ52" s="13">
        <v>1</v>
      </c>
      <c r="BA52" s="13"/>
    </row>
    <row r="53" spans="1:54" s="14" customFormat="1" ht="24.95" customHeight="1" x14ac:dyDescent="0.25">
      <c r="A53" s="3" t="s">
        <v>108</v>
      </c>
      <c r="B53" s="4" t="s">
        <v>573</v>
      </c>
      <c r="C53" s="5"/>
      <c r="D53" s="6"/>
      <c r="E53" s="7"/>
      <c r="F53" s="8">
        <f t="shared" ref="F53" si="23">SUM(F54:F56)</f>
        <v>0</v>
      </c>
      <c r="G53" s="103">
        <f t="shared" ref="G53" si="24">SUM(G54:G56)</f>
        <v>12647</v>
      </c>
      <c r="H53" s="103">
        <f t="shared" ref="H53" si="25">SUM(H54:H56)</f>
        <v>12535</v>
      </c>
      <c r="I53" s="103">
        <f t="shared" ref="I53" si="26">SUM(I54:I56)</f>
        <v>0</v>
      </c>
      <c r="J53" s="103">
        <f t="shared" ref="J53" si="27">SUM(J54:J56)</f>
        <v>0</v>
      </c>
      <c r="K53" s="103">
        <f t="shared" ref="K53" si="28">SUM(K54:K56)</f>
        <v>0</v>
      </c>
      <c r="L53" s="103">
        <f t="shared" ref="L53" si="29">SUM(L54:L56)</f>
        <v>0</v>
      </c>
      <c r="M53" s="103">
        <f t="shared" ref="M53" si="30">SUM(M54:M56)</f>
        <v>0</v>
      </c>
      <c r="N53" s="103">
        <f t="shared" ref="N53" si="31">SUM(N54:N56)</f>
        <v>0</v>
      </c>
      <c r="O53" s="103">
        <f t="shared" ref="O53" si="32">SUM(O54:O56)</f>
        <v>0</v>
      </c>
      <c r="P53" s="103">
        <f t="shared" ref="P53" si="33">SUM(P54:P56)</f>
        <v>0</v>
      </c>
      <c r="Q53" s="103">
        <f t="shared" ref="Q53" si="34">SUM(Q54:Q56)</f>
        <v>0</v>
      </c>
      <c r="R53" s="103">
        <f t="shared" ref="R53" si="35">SUM(R54:R56)</f>
        <v>0</v>
      </c>
      <c r="S53" s="103">
        <f t="shared" ref="S53" si="36">SUM(S54:S56)</f>
        <v>0</v>
      </c>
      <c r="T53" s="103">
        <f t="shared" ref="T53" si="37">SUM(T54:T56)</f>
        <v>0</v>
      </c>
      <c r="U53" s="103">
        <f t="shared" ref="U53" si="38">SUM(U54:U56)</f>
        <v>0</v>
      </c>
      <c r="V53" s="103">
        <f t="shared" ref="V53" si="39">SUM(V54:V56)</f>
        <v>0</v>
      </c>
      <c r="W53" s="103">
        <f t="shared" ref="W53" si="40">SUM(W54:W56)</f>
        <v>0</v>
      </c>
      <c r="X53" s="103">
        <f t="shared" ref="X53" si="41">SUM(X54:X56)</f>
        <v>0</v>
      </c>
      <c r="Y53" s="103">
        <f t="shared" ref="Y53" si="42">SUM(Y54:Y56)</f>
        <v>0</v>
      </c>
      <c r="Z53" s="103">
        <f t="shared" ref="Z53" si="43">SUM(Z54:Z56)</f>
        <v>0</v>
      </c>
      <c r="AA53" s="103">
        <f t="shared" ref="AA53" si="44">SUM(AA54:AA56)</f>
        <v>0</v>
      </c>
      <c r="AB53" s="103">
        <f t="shared" ref="AB53" si="45">SUM(AB54:AB56)</f>
        <v>0</v>
      </c>
      <c r="AC53" s="103">
        <f t="shared" ref="AC53" si="46">SUM(AC54:AC56)</f>
        <v>0</v>
      </c>
      <c r="AD53" s="103">
        <f t="shared" ref="AD53" si="47">SUM(AD54:AD56)</f>
        <v>0</v>
      </c>
      <c r="AE53" s="103">
        <f t="shared" ref="AE53" si="48">SUM(AE54:AE56)</f>
        <v>0</v>
      </c>
      <c r="AF53" s="103">
        <f t="shared" ref="AF53" si="49">SUM(AF54:AF56)</f>
        <v>0</v>
      </c>
      <c r="AG53" s="103">
        <f t="shared" ref="AG53" si="50">SUM(AG54:AG56)</f>
        <v>0</v>
      </c>
      <c r="AH53" s="103">
        <f t="shared" ref="AH53" si="51">SUM(AH54:AH56)</f>
        <v>0</v>
      </c>
      <c r="AI53" s="103">
        <f t="shared" ref="AI53" si="52">SUM(AI54:AI56)</f>
        <v>0</v>
      </c>
      <c r="AJ53" s="103">
        <f t="shared" ref="AJ53" si="53">SUM(AJ54:AJ56)</f>
        <v>0</v>
      </c>
      <c r="AK53" s="103">
        <f t="shared" ref="AK53" si="54">SUM(AK54:AK56)</f>
        <v>12535</v>
      </c>
      <c r="AL53" s="103">
        <f t="shared" ref="AL53" si="55">SUM(AL54:AL56)</f>
        <v>0</v>
      </c>
      <c r="AM53" s="103">
        <f t="shared" ref="AM53" si="56">SUM(AM54:AM56)</f>
        <v>12647</v>
      </c>
      <c r="AN53" s="103">
        <f t="shared" ref="AN53" si="57">SUM(AN54:AN56)</f>
        <v>12535</v>
      </c>
      <c r="AO53" s="103">
        <f t="shared" ref="AO53" si="58">SUM(AO54:AO56)</f>
        <v>0</v>
      </c>
      <c r="AP53" s="103">
        <f t="shared" ref="AP53" si="59">SUM(AP54:AP56)</f>
        <v>0</v>
      </c>
      <c r="AQ53" s="103">
        <f t="shared" ref="AQ53" si="60">SUM(AQ54:AQ56)</f>
        <v>0</v>
      </c>
      <c r="AR53" s="103">
        <f t="shared" ref="AR53" si="61">SUM(AR54:AR56)</f>
        <v>0</v>
      </c>
      <c r="AS53" s="103">
        <f t="shared" ref="AS53" si="62">SUM(AS54:AS56)</f>
        <v>12647</v>
      </c>
      <c r="AT53" s="103">
        <f t="shared" ref="AT53" si="63">SUM(AT54:AT56)</f>
        <v>12535</v>
      </c>
      <c r="AU53" s="9"/>
      <c r="AV53" s="9"/>
      <c r="AW53" s="10"/>
      <c r="AX53" s="11"/>
      <c r="AY53" s="12"/>
      <c r="AZ53" s="13"/>
      <c r="BA53" s="13"/>
    </row>
    <row r="54" spans="1:54" s="14" customFormat="1" ht="101.25" customHeight="1" x14ac:dyDescent="0.25">
      <c r="A54" s="15">
        <v>1</v>
      </c>
      <c r="B54" s="16" t="s">
        <v>176</v>
      </c>
      <c r="C54" s="5" t="s">
        <v>177</v>
      </c>
      <c r="D54" s="6" t="s">
        <v>178</v>
      </c>
      <c r="E54" s="196" t="s">
        <v>52</v>
      </c>
      <c r="F54" s="107" t="s">
        <v>566</v>
      </c>
      <c r="G54" s="2">
        <v>4330</v>
      </c>
      <c r="H54" s="2">
        <v>4280</v>
      </c>
      <c r="I54" s="17"/>
      <c r="J54" s="17"/>
      <c r="K54" s="17"/>
      <c r="L54" s="17"/>
      <c r="M54" s="17"/>
      <c r="N54" s="17"/>
      <c r="O54" s="17"/>
      <c r="P54" s="17"/>
      <c r="Q54" s="17"/>
      <c r="R54" s="17"/>
      <c r="S54" s="17"/>
      <c r="T54" s="17"/>
      <c r="U54" s="17"/>
      <c r="V54" s="17"/>
      <c r="W54" s="17"/>
      <c r="X54" s="18">
        <f>Y54</f>
        <v>0</v>
      </c>
      <c r="Y54" s="18">
        <v>0</v>
      </c>
      <c r="Z54" s="17"/>
      <c r="AA54" s="17"/>
      <c r="AB54" s="17"/>
      <c r="AC54" s="17"/>
      <c r="AD54" s="17"/>
      <c r="AE54" s="17"/>
      <c r="AF54" s="17"/>
      <c r="AG54" s="17"/>
      <c r="AH54" s="17"/>
      <c r="AI54" s="17"/>
      <c r="AJ54" s="17"/>
      <c r="AK54" s="9">
        <v>4280</v>
      </c>
      <c r="AL54" s="9"/>
      <c r="AM54" s="9">
        <f>AN54+50</f>
        <v>4330</v>
      </c>
      <c r="AN54" s="9">
        <v>4280</v>
      </c>
      <c r="AO54" s="9"/>
      <c r="AP54" s="9"/>
      <c r="AQ54" s="9"/>
      <c r="AR54" s="9"/>
      <c r="AS54" s="9">
        <f>AT54+50</f>
        <v>4330</v>
      </c>
      <c r="AT54" s="9">
        <v>4280</v>
      </c>
      <c r="AU54" s="9"/>
      <c r="AV54" s="9"/>
      <c r="AW54" s="10" t="s">
        <v>179</v>
      </c>
      <c r="AX54" s="19"/>
      <c r="AY54" s="12"/>
      <c r="AZ54" s="13"/>
      <c r="BA54" s="13"/>
      <c r="BB54" s="14">
        <v>1</v>
      </c>
    </row>
    <row r="55" spans="1:54" s="14" customFormat="1" ht="53.25" customHeight="1" x14ac:dyDescent="0.25">
      <c r="A55" s="15">
        <v>2</v>
      </c>
      <c r="B55" s="16" t="s">
        <v>180</v>
      </c>
      <c r="C55" s="5" t="s">
        <v>67</v>
      </c>
      <c r="D55" s="6" t="s">
        <v>181</v>
      </c>
      <c r="E55" s="196" t="s">
        <v>52</v>
      </c>
      <c r="F55" s="336" t="s">
        <v>546</v>
      </c>
      <c r="G55" s="17">
        <v>5897</v>
      </c>
      <c r="H55" s="17">
        <v>5855</v>
      </c>
      <c r="I55" s="17"/>
      <c r="J55" s="17"/>
      <c r="K55" s="17"/>
      <c r="L55" s="17"/>
      <c r="M55" s="17"/>
      <c r="N55" s="17"/>
      <c r="O55" s="17"/>
      <c r="P55" s="17"/>
      <c r="Q55" s="17"/>
      <c r="R55" s="17"/>
      <c r="S55" s="17"/>
      <c r="T55" s="17"/>
      <c r="U55" s="17"/>
      <c r="V55" s="17"/>
      <c r="W55" s="17"/>
      <c r="X55" s="18"/>
      <c r="Y55" s="18"/>
      <c r="Z55" s="17"/>
      <c r="AA55" s="17"/>
      <c r="AB55" s="17"/>
      <c r="AC55" s="17"/>
      <c r="AD55" s="17"/>
      <c r="AE55" s="17"/>
      <c r="AF55" s="17"/>
      <c r="AG55" s="17"/>
      <c r="AH55" s="17"/>
      <c r="AI55" s="17"/>
      <c r="AJ55" s="17"/>
      <c r="AK55" s="9">
        <v>5855</v>
      </c>
      <c r="AL55" s="9"/>
      <c r="AM55" s="17">
        <f>AN55+42</f>
        <v>5897</v>
      </c>
      <c r="AN55" s="17">
        <f>4168+1687</f>
        <v>5855</v>
      </c>
      <c r="AO55" s="9"/>
      <c r="AP55" s="9"/>
      <c r="AQ55" s="9"/>
      <c r="AR55" s="9"/>
      <c r="AS55" s="9">
        <f>AT55+42</f>
        <v>5897</v>
      </c>
      <c r="AT55" s="17">
        <f>4168+1687</f>
        <v>5855</v>
      </c>
      <c r="AU55" s="9"/>
      <c r="AV55" s="9"/>
      <c r="AW55" s="41" t="s">
        <v>182</v>
      </c>
      <c r="AX55" s="19"/>
      <c r="AY55" s="12"/>
      <c r="AZ55" s="13"/>
      <c r="BA55" s="13"/>
      <c r="BB55" s="14">
        <v>1</v>
      </c>
    </row>
    <row r="56" spans="1:54" s="14" customFormat="1" ht="53.25" customHeight="1" x14ac:dyDescent="0.25">
      <c r="A56" s="15">
        <v>3</v>
      </c>
      <c r="B56" s="16" t="s">
        <v>183</v>
      </c>
      <c r="C56" s="5" t="s">
        <v>67</v>
      </c>
      <c r="D56" s="6" t="s">
        <v>159</v>
      </c>
      <c r="E56" s="196" t="s">
        <v>52</v>
      </c>
      <c r="F56" s="336" t="s">
        <v>547</v>
      </c>
      <c r="G56" s="17">
        <v>2420</v>
      </c>
      <c r="H56" s="17">
        <v>2400</v>
      </c>
      <c r="I56" s="17"/>
      <c r="J56" s="17"/>
      <c r="K56" s="17"/>
      <c r="L56" s="17"/>
      <c r="M56" s="17"/>
      <c r="N56" s="17"/>
      <c r="O56" s="17"/>
      <c r="P56" s="17"/>
      <c r="Q56" s="17"/>
      <c r="R56" s="17"/>
      <c r="S56" s="17"/>
      <c r="T56" s="17"/>
      <c r="U56" s="17"/>
      <c r="V56" s="17"/>
      <c r="W56" s="17"/>
      <c r="X56" s="18"/>
      <c r="Y56" s="18"/>
      <c r="Z56" s="17"/>
      <c r="AA56" s="17"/>
      <c r="AB56" s="17"/>
      <c r="AC56" s="17"/>
      <c r="AD56" s="17"/>
      <c r="AE56" s="17"/>
      <c r="AF56" s="17"/>
      <c r="AG56" s="17"/>
      <c r="AH56" s="17"/>
      <c r="AI56" s="17"/>
      <c r="AJ56" s="17"/>
      <c r="AK56" s="9">
        <v>2400</v>
      </c>
      <c r="AL56" s="9"/>
      <c r="AM56" s="17">
        <f>AN56+20</f>
        <v>2420</v>
      </c>
      <c r="AN56" s="17">
        <v>2400</v>
      </c>
      <c r="AO56" s="9"/>
      <c r="AP56" s="9"/>
      <c r="AQ56" s="9"/>
      <c r="AR56" s="9"/>
      <c r="AS56" s="9">
        <f>AT56+20</f>
        <v>2420</v>
      </c>
      <c r="AT56" s="17">
        <v>2400</v>
      </c>
      <c r="AU56" s="9"/>
      <c r="AV56" s="9"/>
      <c r="AW56" s="41"/>
      <c r="AX56" s="19"/>
      <c r="AY56" s="12"/>
      <c r="AZ56" s="13"/>
      <c r="BA56" s="13"/>
      <c r="BB56" s="14">
        <v>1</v>
      </c>
    </row>
    <row r="57" spans="1:54" s="32" customFormat="1" ht="21.6" customHeight="1" x14ac:dyDescent="0.25">
      <c r="A57" s="20"/>
      <c r="B57" s="21"/>
      <c r="C57" s="22"/>
      <c r="D57" s="23"/>
      <c r="E57" s="24"/>
      <c r="F57" s="25"/>
      <c r="G57" s="26"/>
      <c r="H57" s="26"/>
      <c r="I57" s="26"/>
      <c r="J57" s="26"/>
      <c r="K57" s="26"/>
      <c r="L57" s="26"/>
      <c r="M57" s="26"/>
      <c r="N57" s="26"/>
      <c r="O57" s="26"/>
      <c r="P57" s="26"/>
      <c r="Q57" s="26"/>
      <c r="R57" s="26"/>
      <c r="S57" s="26"/>
      <c r="T57" s="26"/>
      <c r="U57" s="26"/>
      <c r="V57" s="26"/>
      <c r="W57" s="26"/>
      <c r="X57" s="27"/>
      <c r="Y57" s="27"/>
      <c r="Z57" s="26"/>
      <c r="AA57" s="26"/>
      <c r="AB57" s="26"/>
      <c r="AC57" s="26"/>
      <c r="AD57" s="26"/>
      <c r="AE57" s="26"/>
      <c r="AF57" s="26"/>
      <c r="AG57" s="26"/>
      <c r="AH57" s="26"/>
      <c r="AI57" s="26"/>
      <c r="AJ57" s="26"/>
      <c r="AK57" s="28"/>
      <c r="AL57" s="28"/>
      <c r="AM57" s="28"/>
      <c r="AN57" s="28"/>
      <c r="AO57" s="28"/>
      <c r="AP57" s="28"/>
      <c r="AQ57" s="28"/>
      <c r="AR57" s="28"/>
      <c r="AS57" s="28"/>
      <c r="AT57" s="28"/>
      <c r="AU57" s="28"/>
      <c r="AV57" s="28"/>
      <c r="AW57" s="25"/>
      <c r="AX57" s="29"/>
      <c r="AY57" s="30"/>
      <c r="AZ57" s="31"/>
      <c r="BA57" s="31"/>
    </row>
    <row r="58" spans="1:54" s="14" customFormat="1" ht="27.6" customHeight="1" x14ac:dyDescent="0.25">
      <c r="A58" s="859" t="s">
        <v>184</v>
      </c>
      <c r="B58" s="860"/>
      <c r="C58" s="57"/>
      <c r="D58" s="158"/>
      <c r="E58" s="158"/>
      <c r="F58" s="57"/>
      <c r="G58" s="38">
        <f t="shared" ref="G58" si="64">G59+G60</f>
        <v>222260.1</v>
      </c>
      <c r="H58" s="38">
        <f t="shared" ref="H58" si="65">H59+H60</f>
        <v>193496.1</v>
      </c>
      <c r="I58" s="38" t="e">
        <f t="shared" ref="I58" si="66">I59+I60</f>
        <v>#REF!</v>
      </c>
      <c r="J58" s="38" t="e">
        <f t="shared" ref="J58" si="67">J59+J60</f>
        <v>#REF!</v>
      </c>
      <c r="K58" s="38" t="e">
        <f t="shared" ref="K58" si="68">K59+K60</f>
        <v>#REF!</v>
      </c>
      <c r="L58" s="38">
        <f t="shared" ref="L58" si="69">L59+L60</f>
        <v>76706.741999999998</v>
      </c>
      <c r="M58" s="38">
        <f t="shared" ref="M58" si="70">M59+M60</f>
        <v>73164.741999999998</v>
      </c>
      <c r="N58" s="38">
        <f t="shared" ref="N58" si="71">N59+N60</f>
        <v>76165.784</v>
      </c>
      <c r="O58" s="38">
        <f t="shared" ref="O58" si="72">O59+O60</f>
        <v>64399.7</v>
      </c>
      <c r="P58" s="38">
        <f t="shared" ref="P58" si="73">P59+P60</f>
        <v>255033.258</v>
      </c>
      <c r="Q58" s="38">
        <f t="shared" ref="Q58" si="74">Q59+Q60</f>
        <v>235095.258</v>
      </c>
      <c r="R58" s="38">
        <f t="shared" ref="R58" si="75">R59+R60</f>
        <v>0</v>
      </c>
      <c r="S58" s="38">
        <f t="shared" ref="S58" si="76">S59+S60</f>
        <v>0</v>
      </c>
      <c r="T58" s="38">
        <f t="shared" ref="T58" si="77">T59+T60</f>
        <v>145865.258</v>
      </c>
      <c r="U58" s="38">
        <f t="shared" ref="U58" si="78">U59+U60</f>
        <v>125927.258</v>
      </c>
      <c r="V58" s="38">
        <f t="shared" ref="V58" si="79">V59+V60</f>
        <v>0</v>
      </c>
      <c r="W58" s="38">
        <f t="shared" ref="W58" si="80">W59+W60</f>
        <v>0</v>
      </c>
      <c r="X58" s="38">
        <f t="shared" ref="X58" si="81">X59+X60</f>
        <v>139431</v>
      </c>
      <c r="Y58" s="38">
        <f t="shared" ref="Y58" si="82">Y59+Y60</f>
        <v>118493</v>
      </c>
      <c r="Z58" s="38">
        <f t="shared" ref="Z58" si="83">Z59+Z60</f>
        <v>0</v>
      </c>
      <c r="AA58" s="38">
        <f t="shared" ref="AA58" si="84">AA59+AA60</f>
        <v>3699</v>
      </c>
      <c r="AB58" s="38">
        <f t="shared" ref="AB58" si="85">AB59+AB60</f>
        <v>0</v>
      </c>
      <c r="AC58" s="38">
        <f t="shared" ref="AC58" si="86">AC59+AC60</f>
        <v>1194.7419999999984</v>
      </c>
      <c r="AD58" s="38">
        <f t="shared" ref="AD58" si="87">AD59+AD60</f>
        <v>46376</v>
      </c>
      <c r="AE58" s="38">
        <f t="shared" ref="AE58" si="88">AE59+AE60</f>
        <v>42376</v>
      </c>
      <c r="AF58" s="38">
        <f t="shared" ref="AF58" si="89">AF59+AF60</f>
        <v>0</v>
      </c>
      <c r="AG58" s="38">
        <f t="shared" ref="AG58" si="90">AG59+AG60</f>
        <v>0</v>
      </c>
      <c r="AH58" s="38">
        <f t="shared" ref="AH58" si="91">AH59+AH60</f>
        <v>25607</v>
      </c>
      <c r="AI58" s="38">
        <f t="shared" ref="AI58" si="92">AI59+AI60</f>
        <v>19869</v>
      </c>
      <c r="AJ58" s="38">
        <f t="shared" ref="AJ58" si="93">AJ59+AJ60</f>
        <v>3699</v>
      </c>
      <c r="AK58" s="38">
        <f t="shared" ref="AK58" si="94">AK59+AK60</f>
        <v>8626.1</v>
      </c>
      <c r="AL58" s="38">
        <f t="shared" ref="AL58" si="95">AL59+AL60</f>
        <v>3451</v>
      </c>
      <c r="AM58" s="38">
        <f t="shared" ref="AM58" si="96">AM59+AM60</f>
        <v>153275.1</v>
      </c>
      <c r="AN58" s="38">
        <f t="shared" ref="AN58" si="97">AN59+AN60</f>
        <v>128491.1</v>
      </c>
      <c r="AO58" s="38">
        <f t="shared" ref="AO58" si="98">AO59+AO60</f>
        <v>0</v>
      </c>
      <c r="AP58" s="38">
        <f t="shared" ref="AP58" si="99">AP59+AP60</f>
        <v>3699</v>
      </c>
      <c r="AQ58" s="38">
        <f t="shared" ref="AQ58" si="100">AQ59+AQ60</f>
        <v>0</v>
      </c>
      <c r="AR58" s="38">
        <f t="shared" ref="AR58" si="101">AR59+AR60</f>
        <v>948</v>
      </c>
      <c r="AS58" s="38">
        <f t="shared" ref="AS58" si="102">AS59+AS60</f>
        <v>150827</v>
      </c>
      <c r="AT58" s="316">
        <f t="shared" ref="AT58" si="103">AT59+AT60</f>
        <v>127543</v>
      </c>
      <c r="AU58" s="38">
        <f t="shared" ref="AU58" si="104">AU59+AU60</f>
        <v>0</v>
      </c>
      <c r="AV58" s="38">
        <f t="shared" ref="AV58" si="105">AV59+AV60</f>
        <v>3699</v>
      </c>
      <c r="AW58" s="335"/>
      <c r="AX58" s="200">
        <f>AW58-Y58</f>
        <v>-118493</v>
      </c>
      <c r="AY58" s="157"/>
    </row>
    <row r="59" spans="1:54" s="14" customFormat="1" ht="34.5" customHeight="1" x14ac:dyDescent="0.25">
      <c r="A59" s="159" t="s">
        <v>100</v>
      </c>
      <c r="B59" s="201" t="s">
        <v>101</v>
      </c>
      <c r="C59" s="57"/>
      <c r="D59" s="202"/>
      <c r="E59" s="202"/>
      <c r="F59" s="57"/>
      <c r="G59" s="37"/>
      <c r="H59" s="37"/>
      <c r="I59" s="37"/>
      <c r="J59" s="37"/>
      <c r="K59" s="37"/>
      <c r="L59" s="38">
        <v>8420</v>
      </c>
      <c r="M59" s="38">
        <v>8420</v>
      </c>
      <c r="N59" s="38">
        <v>4682</v>
      </c>
      <c r="O59" s="37"/>
      <c r="P59" s="37">
        <v>2000</v>
      </c>
      <c r="Q59" s="37">
        <v>2000</v>
      </c>
      <c r="R59" s="37"/>
      <c r="S59" s="37"/>
      <c r="T59" s="37">
        <v>2000</v>
      </c>
      <c r="U59" s="37">
        <v>2000</v>
      </c>
      <c r="V59" s="37"/>
      <c r="W59" s="37"/>
      <c r="X59" s="37">
        <f>Y59</f>
        <v>2000</v>
      </c>
      <c r="Y59" s="37">
        <v>2000</v>
      </c>
      <c r="Z59" s="38"/>
      <c r="AA59" s="38"/>
      <c r="AB59" s="38"/>
      <c r="AC59" s="37"/>
      <c r="AD59" s="37">
        <v>500</v>
      </c>
      <c r="AE59" s="37">
        <v>500</v>
      </c>
      <c r="AF59" s="37"/>
      <c r="AG59" s="37"/>
      <c r="AH59" s="37">
        <f>AI59</f>
        <v>500</v>
      </c>
      <c r="AI59" s="37">
        <v>500</v>
      </c>
      <c r="AJ59" s="203"/>
      <c r="AK59" s="9"/>
      <c r="AL59" s="9"/>
      <c r="AM59" s="38">
        <f>AN59</f>
        <v>2000</v>
      </c>
      <c r="AN59" s="38">
        <v>2000</v>
      </c>
      <c r="AO59" s="9"/>
      <c r="AP59" s="9"/>
      <c r="AQ59" s="9"/>
      <c r="AR59" s="38">
        <v>500</v>
      </c>
      <c r="AS59" s="38"/>
      <c r="AT59" s="38">
        <f>AN59-AR59</f>
        <v>1500</v>
      </c>
      <c r="AU59" s="9"/>
      <c r="AV59" s="9"/>
      <c r="AW59" s="141"/>
      <c r="AX59" s="79"/>
      <c r="AY59" s="14">
        <f>AW58-AN58</f>
        <v>-128491.1</v>
      </c>
      <c r="AZ59" s="13"/>
      <c r="BA59" s="13"/>
    </row>
    <row r="60" spans="1:54" s="14" customFormat="1" ht="24.6" customHeight="1" x14ac:dyDescent="0.25">
      <c r="A60" s="163" t="s">
        <v>102</v>
      </c>
      <c r="B60" s="204" t="s">
        <v>185</v>
      </c>
      <c r="C60" s="57"/>
      <c r="D60" s="202"/>
      <c r="E60" s="202"/>
      <c r="F60" s="57"/>
      <c r="G60" s="38">
        <f t="shared" ref="G60:AV60" si="106">G61+G62</f>
        <v>222260.1</v>
      </c>
      <c r="H60" s="38">
        <f t="shared" si="106"/>
        <v>193496.1</v>
      </c>
      <c r="I60" s="38" t="e">
        <f t="shared" si="106"/>
        <v>#REF!</v>
      </c>
      <c r="J60" s="38" t="e">
        <f t="shared" si="106"/>
        <v>#REF!</v>
      </c>
      <c r="K60" s="38" t="e">
        <f t="shared" si="106"/>
        <v>#REF!</v>
      </c>
      <c r="L60" s="38">
        <f t="shared" si="106"/>
        <v>68286.741999999998</v>
      </c>
      <c r="M60" s="38">
        <f t="shared" si="106"/>
        <v>64744.741999999998</v>
      </c>
      <c r="N60" s="38">
        <f t="shared" si="106"/>
        <v>71483.784</v>
      </c>
      <c r="O60" s="38">
        <f t="shared" si="106"/>
        <v>64399.7</v>
      </c>
      <c r="P60" s="38">
        <f t="shared" si="106"/>
        <v>253033.258</v>
      </c>
      <c r="Q60" s="38">
        <f t="shared" si="106"/>
        <v>233095.258</v>
      </c>
      <c r="R60" s="38">
        <f t="shared" si="106"/>
        <v>0</v>
      </c>
      <c r="S60" s="38">
        <f t="shared" si="106"/>
        <v>0</v>
      </c>
      <c r="T60" s="38">
        <f t="shared" si="106"/>
        <v>143865.258</v>
      </c>
      <c r="U60" s="38">
        <f t="shared" si="106"/>
        <v>123927.258</v>
      </c>
      <c r="V60" s="38">
        <f t="shared" si="106"/>
        <v>0</v>
      </c>
      <c r="W60" s="38">
        <f t="shared" si="106"/>
        <v>0</v>
      </c>
      <c r="X60" s="38">
        <f t="shared" si="106"/>
        <v>137431</v>
      </c>
      <c r="Y60" s="38">
        <f t="shared" si="106"/>
        <v>116493</v>
      </c>
      <c r="Z60" s="38">
        <f t="shared" si="106"/>
        <v>0</v>
      </c>
      <c r="AA60" s="38">
        <f t="shared" si="106"/>
        <v>3699</v>
      </c>
      <c r="AB60" s="38">
        <f t="shared" si="106"/>
        <v>0</v>
      </c>
      <c r="AC60" s="38">
        <f t="shared" si="106"/>
        <v>1194.7419999999984</v>
      </c>
      <c r="AD60" s="38">
        <f t="shared" si="106"/>
        <v>45876</v>
      </c>
      <c r="AE60" s="38">
        <f t="shared" si="106"/>
        <v>41876</v>
      </c>
      <c r="AF60" s="38">
        <f t="shared" si="106"/>
        <v>0</v>
      </c>
      <c r="AG60" s="38">
        <f t="shared" si="106"/>
        <v>0</v>
      </c>
      <c r="AH60" s="38">
        <f t="shared" si="106"/>
        <v>25107</v>
      </c>
      <c r="AI60" s="38">
        <f t="shared" si="106"/>
        <v>19369</v>
      </c>
      <c r="AJ60" s="38">
        <f t="shared" si="106"/>
        <v>3699</v>
      </c>
      <c r="AK60" s="38">
        <f t="shared" si="106"/>
        <v>8626.1</v>
      </c>
      <c r="AL60" s="38">
        <f t="shared" si="106"/>
        <v>3451</v>
      </c>
      <c r="AM60" s="38">
        <f t="shared" si="106"/>
        <v>151275.1</v>
      </c>
      <c r="AN60" s="38">
        <f t="shared" si="106"/>
        <v>126491.1</v>
      </c>
      <c r="AO60" s="38">
        <f t="shared" si="106"/>
        <v>0</v>
      </c>
      <c r="AP60" s="38">
        <f t="shared" si="106"/>
        <v>3699</v>
      </c>
      <c r="AQ60" s="38">
        <f t="shared" si="106"/>
        <v>0</v>
      </c>
      <c r="AR60" s="38">
        <f t="shared" si="106"/>
        <v>448</v>
      </c>
      <c r="AS60" s="38">
        <f t="shared" si="106"/>
        <v>150827</v>
      </c>
      <c r="AT60" s="38">
        <f t="shared" si="106"/>
        <v>126043</v>
      </c>
      <c r="AU60" s="38">
        <f t="shared" si="106"/>
        <v>0</v>
      </c>
      <c r="AV60" s="38">
        <f t="shared" si="106"/>
        <v>3699</v>
      </c>
      <c r="AW60" s="141"/>
      <c r="AX60" s="79"/>
      <c r="AZ60" s="13"/>
      <c r="BA60" s="13"/>
    </row>
    <row r="61" spans="1:54" s="14" customFormat="1" ht="24.6" customHeight="1" x14ac:dyDescent="0.25">
      <c r="A61" s="202"/>
      <c r="B61" s="204" t="s">
        <v>186</v>
      </c>
      <c r="C61" s="57"/>
      <c r="D61" s="202"/>
      <c r="E61" s="202"/>
      <c r="F61" s="57"/>
      <c r="G61" s="37"/>
      <c r="H61" s="37"/>
      <c r="I61" s="37" t="e">
        <f>SUM(#REF!)</f>
        <v>#REF!</v>
      </c>
      <c r="J61" s="37" t="e">
        <f>SUM(#REF!)</f>
        <v>#REF!</v>
      </c>
      <c r="K61" s="37" t="e">
        <f>SUM(#REF!)</f>
        <v>#REF!</v>
      </c>
      <c r="L61" s="37"/>
      <c r="M61" s="37"/>
      <c r="N61" s="37"/>
      <c r="O61" s="37"/>
      <c r="P61" s="37"/>
      <c r="Q61" s="37"/>
      <c r="R61" s="37"/>
      <c r="S61" s="37"/>
      <c r="T61" s="37"/>
      <c r="U61" s="37"/>
      <c r="V61" s="37"/>
      <c r="W61" s="37"/>
      <c r="X61" s="37"/>
      <c r="Y61" s="37"/>
      <c r="Z61" s="173"/>
      <c r="AA61" s="37"/>
      <c r="AB61" s="37"/>
      <c r="AC61" s="37"/>
      <c r="AD61" s="37"/>
      <c r="AE61" s="37"/>
      <c r="AF61" s="37"/>
      <c r="AG61" s="37"/>
      <c r="AH61" s="37"/>
      <c r="AI61" s="37"/>
      <c r="AJ61" s="37"/>
      <c r="AK61" s="9"/>
      <c r="AL61" s="9"/>
      <c r="AM61" s="9"/>
      <c r="AN61" s="9"/>
      <c r="AO61" s="9"/>
      <c r="AP61" s="9"/>
      <c r="AQ61" s="9"/>
      <c r="AR61" s="9"/>
      <c r="AS61" s="9"/>
      <c r="AT61" s="9"/>
      <c r="AU61" s="9"/>
      <c r="AV61" s="9"/>
      <c r="AW61" s="141"/>
      <c r="AX61" s="79"/>
      <c r="AZ61" s="13"/>
      <c r="BA61" s="13"/>
    </row>
    <row r="62" spans="1:54" s="14" customFormat="1" ht="24.6" customHeight="1" x14ac:dyDescent="0.25">
      <c r="A62" s="202"/>
      <c r="B62" s="204" t="s">
        <v>105</v>
      </c>
      <c r="C62" s="57"/>
      <c r="D62" s="202"/>
      <c r="E62" s="202"/>
      <c r="F62" s="57"/>
      <c r="G62" s="38">
        <f t="shared" ref="G62:AV62" si="107">G63+G71</f>
        <v>222260.1</v>
      </c>
      <c r="H62" s="38">
        <f t="shared" si="107"/>
        <v>193496.1</v>
      </c>
      <c r="I62" s="38">
        <f t="shared" si="107"/>
        <v>0</v>
      </c>
      <c r="J62" s="38">
        <f t="shared" si="107"/>
        <v>0</v>
      </c>
      <c r="K62" s="38">
        <f t="shared" si="107"/>
        <v>0</v>
      </c>
      <c r="L62" s="38">
        <f t="shared" si="107"/>
        <v>68286.741999999998</v>
      </c>
      <c r="M62" s="38">
        <f t="shared" si="107"/>
        <v>64744.741999999998</v>
      </c>
      <c r="N62" s="38">
        <f t="shared" si="107"/>
        <v>71483.784</v>
      </c>
      <c r="O62" s="38">
        <f t="shared" si="107"/>
        <v>64399.7</v>
      </c>
      <c r="P62" s="38">
        <f t="shared" si="107"/>
        <v>253033.258</v>
      </c>
      <c r="Q62" s="38">
        <f t="shared" si="107"/>
        <v>233095.258</v>
      </c>
      <c r="R62" s="38">
        <f t="shared" si="107"/>
        <v>0</v>
      </c>
      <c r="S62" s="38">
        <f t="shared" si="107"/>
        <v>0</v>
      </c>
      <c r="T62" s="38">
        <f t="shared" si="107"/>
        <v>143865.258</v>
      </c>
      <c r="U62" s="38">
        <f t="shared" si="107"/>
        <v>123927.258</v>
      </c>
      <c r="V62" s="38">
        <f t="shared" si="107"/>
        <v>0</v>
      </c>
      <c r="W62" s="38">
        <f t="shared" si="107"/>
        <v>0</v>
      </c>
      <c r="X62" s="38">
        <f t="shared" si="107"/>
        <v>137431</v>
      </c>
      <c r="Y62" s="38">
        <f t="shared" si="107"/>
        <v>116493</v>
      </c>
      <c r="Z62" s="38">
        <f t="shared" si="107"/>
        <v>0</v>
      </c>
      <c r="AA62" s="38">
        <f t="shared" si="107"/>
        <v>3699</v>
      </c>
      <c r="AB62" s="38">
        <f t="shared" si="107"/>
        <v>0</v>
      </c>
      <c r="AC62" s="38">
        <f t="shared" si="107"/>
        <v>1194.7419999999984</v>
      </c>
      <c r="AD62" s="38">
        <f t="shared" si="107"/>
        <v>45876</v>
      </c>
      <c r="AE62" s="38">
        <f t="shared" si="107"/>
        <v>41876</v>
      </c>
      <c r="AF62" s="38">
        <f t="shared" si="107"/>
        <v>0</v>
      </c>
      <c r="AG62" s="38">
        <f t="shared" si="107"/>
        <v>0</v>
      </c>
      <c r="AH62" s="38">
        <f t="shared" si="107"/>
        <v>25107</v>
      </c>
      <c r="AI62" s="38">
        <f t="shared" si="107"/>
        <v>19369</v>
      </c>
      <c r="AJ62" s="38">
        <f t="shared" si="107"/>
        <v>3699</v>
      </c>
      <c r="AK62" s="38">
        <f t="shared" si="107"/>
        <v>8626.1</v>
      </c>
      <c r="AL62" s="38">
        <f t="shared" si="107"/>
        <v>3451</v>
      </c>
      <c r="AM62" s="38">
        <f t="shared" si="107"/>
        <v>151275.1</v>
      </c>
      <c r="AN62" s="38">
        <f t="shared" si="107"/>
        <v>126491.1</v>
      </c>
      <c r="AO62" s="38">
        <f t="shared" si="107"/>
        <v>0</v>
      </c>
      <c r="AP62" s="38">
        <f t="shared" si="107"/>
        <v>3699</v>
      </c>
      <c r="AQ62" s="38">
        <f t="shared" si="107"/>
        <v>0</v>
      </c>
      <c r="AR62" s="38">
        <f t="shared" si="107"/>
        <v>448</v>
      </c>
      <c r="AS62" s="38">
        <f t="shared" si="107"/>
        <v>150827</v>
      </c>
      <c r="AT62" s="38">
        <f t="shared" si="107"/>
        <v>126043</v>
      </c>
      <c r="AU62" s="38">
        <f t="shared" si="107"/>
        <v>0</v>
      </c>
      <c r="AV62" s="38">
        <f t="shared" si="107"/>
        <v>3699</v>
      </c>
      <c r="AW62" s="147"/>
      <c r="AX62" s="79"/>
      <c r="AZ62" s="13"/>
      <c r="BA62" s="13"/>
    </row>
    <row r="63" spans="1:54" s="14" customFormat="1" ht="47.25" x14ac:dyDescent="0.25">
      <c r="A63" s="163" t="s">
        <v>106</v>
      </c>
      <c r="B63" s="166" t="s">
        <v>107</v>
      </c>
      <c r="C63" s="57"/>
      <c r="D63" s="161"/>
      <c r="E63" s="161"/>
      <c r="F63" s="57"/>
      <c r="G63" s="38">
        <f>G64+G65</f>
        <v>180011</v>
      </c>
      <c r="H63" s="38">
        <f t="shared" ref="H63:AV63" si="108">H64+H65</f>
        <v>156531</v>
      </c>
      <c r="I63" s="38">
        <f t="shared" si="108"/>
        <v>0</v>
      </c>
      <c r="J63" s="38">
        <f t="shared" si="108"/>
        <v>0</v>
      </c>
      <c r="K63" s="38">
        <f t="shared" si="108"/>
        <v>0</v>
      </c>
      <c r="L63" s="38">
        <f t="shared" si="108"/>
        <v>68286.741999999998</v>
      </c>
      <c r="M63" s="38">
        <f t="shared" si="108"/>
        <v>64744.741999999998</v>
      </c>
      <c r="N63" s="38">
        <f t="shared" si="108"/>
        <v>71483.784</v>
      </c>
      <c r="O63" s="38">
        <f t="shared" si="108"/>
        <v>64399.7</v>
      </c>
      <c r="P63" s="38">
        <f t="shared" si="108"/>
        <v>214183.258</v>
      </c>
      <c r="Q63" s="38">
        <f t="shared" si="108"/>
        <v>194245.258</v>
      </c>
      <c r="R63" s="38">
        <f t="shared" si="108"/>
        <v>0</v>
      </c>
      <c r="S63" s="38">
        <f t="shared" si="108"/>
        <v>0</v>
      </c>
      <c r="T63" s="38">
        <f t="shared" si="108"/>
        <v>107565.258</v>
      </c>
      <c r="U63" s="38">
        <f t="shared" si="108"/>
        <v>87627.258000000002</v>
      </c>
      <c r="V63" s="38">
        <f t="shared" si="108"/>
        <v>0</v>
      </c>
      <c r="W63" s="38">
        <f t="shared" si="108"/>
        <v>0</v>
      </c>
      <c r="X63" s="38">
        <f t="shared" si="108"/>
        <v>108760</v>
      </c>
      <c r="Y63" s="38">
        <f t="shared" si="108"/>
        <v>88822</v>
      </c>
      <c r="Z63" s="38">
        <f t="shared" si="108"/>
        <v>0</v>
      </c>
      <c r="AA63" s="38">
        <f t="shared" si="108"/>
        <v>3699</v>
      </c>
      <c r="AB63" s="38">
        <f t="shared" si="108"/>
        <v>0</v>
      </c>
      <c r="AC63" s="38">
        <f t="shared" si="108"/>
        <v>1194.7419999999984</v>
      </c>
      <c r="AD63" s="38">
        <f t="shared" si="108"/>
        <v>45876</v>
      </c>
      <c r="AE63" s="38">
        <f t="shared" si="108"/>
        <v>41876</v>
      </c>
      <c r="AF63" s="38">
        <f t="shared" si="108"/>
        <v>0</v>
      </c>
      <c r="AG63" s="38">
        <f t="shared" si="108"/>
        <v>0</v>
      </c>
      <c r="AH63" s="38">
        <f t="shared" si="108"/>
        <v>24807</v>
      </c>
      <c r="AI63" s="38">
        <f t="shared" si="108"/>
        <v>19069</v>
      </c>
      <c r="AJ63" s="38">
        <f t="shared" si="108"/>
        <v>3699</v>
      </c>
      <c r="AK63" s="38">
        <f t="shared" si="108"/>
        <v>0</v>
      </c>
      <c r="AL63" s="38">
        <f t="shared" si="108"/>
        <v>0</v>
      </c>
      <c r="AM63" s="38">
        <f t="shared" si="108"/>
        <v>108436</v>
      </c>
      <c r="AN63" s="38">
        <f t="shared" si="108"/>
        <v>89436</v>
      </c>
      <c r="AO63" s="38">
        <f t="shared" si="108"/>
        <v>0</v>
      </c>
      <c r="AP63" s="38">
        <f t="shared" si="108"/>
        <v>3699</v>
      </c>
      <c r="AQ63" s="38">
        <f t="shared" si="108"/>
        <v>0</v>
      </c>
      <c r="AR63" s="38">
        <f t="shared" si="108"/>
        <v>107</v>
      </c>
      <c r="AS63" s="38">
        <f t="shared" si="108"/>
        <v>108329</v>
      </c>
      <c r="AT63" s="38">
        <f t="shared" si="108"/>
        <v>89329</v>
      </c>
      <c r="AU63" s="38">
        <f t="shared" si="108"/>
        <v>0</v>
      </c>
      <c r="AV63" s="38">
        <f t="shared" si="108"/>
        <v>3699</v>
      </c>
      <c r="AW63" s="141"/>
      <c r="AX63" s="79"/>
      <c r="AZ63" s="13"/>
      <c r="BA63" s="13"/>
    </row>
    <row r="64" spans="1:54" s="144" customFormat="1" ht="31.5" x14ac:dyDescent="0.25">
      <c r="A64" s="167" t="s">
        <v>108</v>
      </c>
      <c r="B64" s="205" t="s">
        <v>109</v>
      </c>
      <c r="C64" s="142"/>
      <c r="D64" s="206"/>
      <c r="E64" s="206"/>
      <c r="F64" s="142"/>
      <c r="G64" s="207"/>
      <c r="H64" s="207"/>
      <c r="I64" s="171"/>
      <c r="J64" s="171"/>
      <c r="K64" s="171"/>
      <c r="L64" s="207"/>
      <c r="M64" s="207"/>
      <c r="N64" s="207"/>
      <c r="O64" s="104"/>
      <c r="P64" s="172"/>
      <c r="Q64" s="172"/>
      <c r="R64" s="104"/>
      <c r="S64" s="104"/>
      <c r="T64" s="172"/>
      <c r="U64" s="172"/>
      <c r="V64" s="104"/>
      <c r="W64" s="104"/>
      <c r="X64" s="172"/>
      <c r="Y64" s="172"/>
      <c r="Z64" s="172"/>
      <c r="AA64" s="37"/>
      <c r="AB64" s="37"/>
      <c r="AC64" s="37"/>
      <c r="AD64" s="37"/>
      <c r="AE64" s="37"/>
      <c r="AF64" s="37"/>
      <c r="AG64" s="37"/>
      <c r="AH64" s="37"/>
      <c r="AI64" s="37"/>
      <c r="AJ64" s="37"/>
      <c r="AK64" s="9"/>
      <c r="AL64" s="9"/>
      <c r="AM64" s="9"/>
      <c r="AN64" s="9"/>
      <c r="AO64" s="9"/>
      <c r="AP64" s="9"/>
      <c r="AQ64" s="9"/>
      <c r="AR64" s="9"/>
      <c r="AS64" s="9"/>
      <c r="AT64" s="9"/>
      <c r="AU64" s="9"/>
      <c r="AV64" s="9"/>
      <c r="AW64" s="143"/>
      <c r="AX64" s="174"/>
      <c r="AZ64" s="208"/>
      <c r="BA64" s="208"/>
    </row>
    <row r="65" spans="1:53" s="144" customFormat="1" ht="31.5" x14ac:dyDescent="0.25">
      <c r="A65" s="167" t="s">
        <v>108</v>
      </c>
      <c r="B65" s="209" t="s">
        <v>187</v>
      </c>
      <c r="C65" s="142"/>
      <c r="D65" s="206"/>
      <c r="E65" s="206"/>
      <c r="F65" s="142"/>
      <c r="G65" s="101">
        <f t="shared" ref="G65:AV65" si="109">SUM(G67:G70)</f>
        <v>180011</v>
      </c>
      <c r="H65" s="101">
        <f t="shared" si="109"/>
        <v>156531</v>
      </c>
      <c r="I65" s="101">
        <f t="shared" si="109"/>
        <v>0</v>
      </c>
      <c r="J65" s="101">
        <f t="shared" si="109"/>
        <v>0</v>
      </c>
      <c r="K65" s="101">
        <f t="shared" si="109"/>
        <v>0</v>
      </c>
      <c r="L65" s="101">
        <f t="shared" si="109"/>
        <v>68286.741999999998</v>
      </c>
      <c r="M65" s="101">
        <f t="shared" si="109"/>
        <v>64744.741999999998</v>
      </c>
      <c r="N65" s="101">
        <f t="shared" si="109"/>
        <v>71483.784</v>
      </c>
      <c r="O65" s="101">
        <f t="shared" si="109"/>
        <v>64399.7</v>
      </c>
      <c r="P65" s="101">
        <f t="shared" si="109"/>
        <v>214183.258</v>
      </c>
      <c r="Q65" s="101">
        <f t="shared" si="109"/>
        <v>194245.258</v>
      </c>
      <c r="R65" s="101">
        <f t="shared" si="109"/>
        <v>0</v>
      </c>
      <c r="S65" s="101">
        <f t="shared" si="109"/>
        <v>0</v>
      </c>
      <c r="T65" s="101">
        <f t="shared" si="109"/>
        <v>107565.258</v>
      </c>
      <c r="U65" s="101">
        <f t="shared" si="109"/>
        <v>87627.258000000002</v>
      </c>
      <c r="V65" s="101">
        <f t="shared" si="109"/>
        <v>0</v>
      </c>
      <c r="W65" s="101">
        <f t="shared" si="109"/>
        <v>0</v>
      </c>
      <c r="X65" s="101">
        <f t="shared" si="109"/>
        <v>108760</v>
      </c>
      <c r="Y65" s="101">
        <f t="shared" si="109"/>
        <v>88822</v>
      </c>
      <c r="Z65" s="101">
        <f t="shared" si="109"/>
        <v>0</v>
      </c>
      <c r="AA65" s="101">
        <f t="shared" si="109"/>
        <v>3699</v>
      </c>
      <c r="AB65" s="101">
        <f t="shared" si="109"/>
        <v>0</v>
      </c>
      <c r="AC65" s="101">
        <f t="shared" si="109"/>
        <v>1194.7419999999984</v>
      </c>
      <c r="AD65" s="101">
        <f t="shared" si="109"/>
        <v>45876</v>
      </c>
      <c r="AE65" s="101">
        <f t="shared" si="109"/>
        <v>41876</v>
      </c>
      <c r="AF65" s="101">
        <f t="shared" si="109"/>
        <v>0</v>
      </c>
      <c r="AG65" s="101">
        <f t="shared" si="109"/>
        <v>0</v>
      </c>
      <c r="AH65" s="101">
        <f t="shared" si="109"/>
        <v>24807</v>
      </c>
      <c r="AI65" s="101">
        <f t="shared" si="109"/>
        <v>19069</v>
      </c>
      <c r="AJ65" s="101">
        <f t="shared" si="109"/>
        <v>3699</v>
      </c>
      <c r="AK65" s="101">
        <f t="shared" si="109"/>
        <v>0</v>
      </c>
      <c r="AL65" s="101">
        <f t="shared" si="109"/>
        <v>0</v>
      </c>
      <c r="AM65" s="101">
        <f t="shared" si="109"/>
        <v>108436</v>
      </c>
      <c r="AN65" s="101">
        <f t="shared" si="109"/>
        <v>89436</v>
      </c>
      <c r="AO65" s="101">
        <f t="shared" si="109"/>
        <v>0</v>
      </c>
      <c r="AP65" s="101">
        <f t="shared" si="109"/>
        <v>3699</v>
      </c>
      <c r="AQ65" s="101">
        <f t="shared" si="109"/>
        <v>0</v>
      </c>
      <c r="AR65" s="101">
        <f t="shared" si="109"/>
        <v>107</v>
      </c>
      <c r="AS65" s="101">
        <f t="shared" si="109"/>
        <v>108329</v>
      </c>
      <c r="AT65" s="101">
        <f t="shared" si="109"/>
        <v>89329</v>
      </c>
      <c r="AU65" s="101">
        <f t="shared" si="109"/>
        <v>0</v>
      </c>
      <c r="AV65" s="101">
        <f t="shared" si="109"/>
        <v>3699</v>
      </c>
      <c r="AW65" s="143"/>
      <c r="AX65" s="174"/>
      <c r="AZ65" s="208"/>
      <c r="BA65" s="208"/>
    </row>
    <row r="66" spans="1:53" ht="47.25" x14ac:dyDescent="0.25">
      <c r="A66" s="39">
        <v>1</v>
      </c>
      <c r="B66" s="210" t="s">
        <v>188</v>
      </c>
      <c r="C66" s="41"/>
      <c r="D66" s="39"/>
      <c r="E66" s="39" t="s">
        <v>189</v>
      </c>
      <c r="F66" s="150" t="s">
        <v>190</v>
      </c>
      <c r="G66" s="17">
        <v>185000</v>
      </c>
      <c r="H66" s="17">
        <v>185000</v>
      </c>
      <c r="I66" s="17"/>
      <c r="J66" s="17"/>
      <c r="K66" s="17"/>
      <c r="L66" s="17">
        <f>SUM(L67:L68)</f>
        <v>24386</v>
      </c>
      <c r="M66" s="17">
        <f>SUM(M67:M68)</f>
        <v>24386</v>
      </c>
      <c r="N66" s="17">
        <f>SUM(N67:N68)</f>
        <v>27583.042000000001</v>
      </c>
      <c r="O66" s="17">
        <f>SUM(O67:O68)</f>
        <v>24041</v>
      </c>
      <c r="P66" s="43">
        <f>185000-24836</f>
        <v>160164</v>
      </c>
      <c r="Q66" s="43">
        <f>+Q67+Q68</f>
        <v>160164</v>
      </c>
      <c r="R66" s="43"/>
      <c r="S66" s="43"/>
      <c r="T66" s="43">
        <f t="shared" ref="T66:AE66" si="110">+T67+T68</f>
        <v>53546</v>
      </c>
      <c r="U66" s="43">
        <f t="shared" si="110"/>
        <v>53546</v>
      </c>
      <c r="V66" s="43">
        <f t="shared" si="110"/>
        <v>0</v>
      </c>
      <c r="W66" s="43">
        <f t="shared" si="110"/>
        <v>0</v>
      </c>
      <c r="X66" s="44">
        <f>Y66</f>
        <v>53741</v>
      </c>
      <c r="Y66" s="44">
        <f>+Y67+Y68</f>
        <v>53741</v>
      </c>
      <c r="Z66" s="44"/>
      <c r="AA66" s="44"/>
      <c r="AB66" s="44"/>
      <c r="AC66" s="44">
        <f>Y66-U66</f>
        <v>195</v>
      </c>
      <c r="AD66" s="44">
        <f t="shared" si="110"/>
        <v>18433</v>
      </c>
      <c r="AE66" s="44">
        <f t="shared" si="110"/>
        <v>18433</v>
      </c>
      <c r="AF66" s="43"/>
      <c r="AG66" s="43"/>
      <c r="AH66" s="43"/>
      <c r="AI66" s="211"/>
      <c r="AJ66" s="43"/>
      <c r="AK66" s="9"/>
      <c r="AL66" s="9"/>
      <c r="AM66" s="9"/>
      <c r="AN66" s="9"/>
      <c r="AO66" s="9"/>
      <c r="AP66" s="9"/>
      <c r="AQ66" s="17"/>
      <c r="AR66" s="17"/>
      <c r="AS66" s="17"/>
      <c r="AT66" s="17"/>
      <c r="AU66" s="17"/>
      <c r="AV66" s="9"/>
      <c r="AW66" s="147"/>
      <c r="AX66" s="212"/>
      <c r="AZ66" s="148"/>
      <c r="BA66" s="148"/>
    </row>
    <row r="67" spans="1:53" s="14" customFormat="1" ht="63" x14ac:dyDescent="0.25">
      <c r="A67" s="39"/>
      <c r="B67" s="213" t="s">
        <v>191</v>
      </c>
      <c r="C67" s="10" t="s">
        <v>192</v>
      </c>
      <c r="D67" s="150" t="s">
        <v>193</v>
      </c>
      <c r="E67" s="7" t="s">
        <v>194</v>
      </c>
      <c r="F67" s="150" t="s">
        <v>195</v>
      </c>
      <c r="G67" s="17">
        <v>48000</v>
      </c>
      <c r="H67" s="17">
        <v>48000</v>
      </c>
      <c r="I67" s="17"/>
      <c r="J67" s="17"/>
      <c r="K67" s="17"/>
      <c r="L67" s="17">
        <v>24386</v>
      </c>
      <c r="M67" s="17">
        <v>24386</v>
      </c>
      <c r="N67" s="17">
        <v>24041</v>
      </c>
      <c r="O67" s="17">
        <v>24041</v>
      </c>
      <c r="P67" s="17">
        <f>G67-N67</f>
        <v>23959</v>
      </c>
      <c r="Q67" s="17">
        <v>23959</v>
      </c>
      <c r="R67" s="9"/>
      <c r="S67" s="9"/>
      <c r="T67" s="17">
        <v>23959</v>
      </c>
      <c r="U67" s="17">
        <f>T67</f>
        <v>23959</v>
      </c>
      <c r="V67" s="9"/>
      <c r="W67" s="9"/>
      <c r="X67" s="44">
        <f>Y67</f>
        <v>23959</v>
      </c>
      <c r="Y67" s="44">
        <v>23959</v>
      </c>
      <c r="Z67" s="44"/>
      <c r="AA67" s="44">
        <v>2700</v>
      </c>
      <c r="AB67" s="44"/>
      <c r="AC67" s="44">
        <f>Y67-U67</f>
        <v>0</v>
      </c>
      <c r="AD67" s="44">
        <f>AE67</f>
        <v>17833</v>
      </c>
      <c r="AE67" s="44">
        <f>11202+3631+3000</f>
        <v>17833</v>
      </c>
      <c r="AF67" s="9"/>
      <c r="AG67" s="9"/>
      <c r="AH67" s="44">
        <f>AI67</f>
        <v>3800</v>
      </c>
      <c r="AI67" s="44">
        <v>3800</v>
      </c>
      <c r="AJ67" s="44">
        <v>2700</v>
      </c>
      <c r="AK67" s="44"/>
      <c r="AL67" s="44"/>
      <c r="AM67" s="17">
        <f>AN67</f>
        <v>23959</v>
      </c>
      <c r="AN67" s="17">
        <v>23959</v>
      </c>
      <c r="AO67" s="44"/>
      <c r="AP67" s="17">
        <v>2700</v>
      </c>
      <c r="AQ67" s="17"/>
      <c r="AR67" s="17">
        <v>26</v>
      </c>
      <c r="AS67" s="17">
        <f>AT67</f>
        <v>23933</v>
      </c>
      <c r="AT67" s="17">
        <f>AN67-AR67</f>
        <v>23933</v>
      </c>
      <c r="AU67" s="17"/>
      <c r="AV67" s="44">
        <v>2700</v>
      </c>
      <c r="AW67" s="10"/>
      <c r="AX67" s="19"/>
      <c r="AZ67" s="13"/>
      <c r="BA67" s="13"/>
    </row>
    <row r="68" spans="1:53" s="14" customFormat="1" ht="63" x14ac:dyDescent="0.25">
      <c r="A68" s="190"/>
      <c r="B68" s="213" t="s">
        <v>196</v>
      </c>
      <c r="C68" s="10" t="s">
        <v>192</v>
      </c>
      <c r="D68" s="39" t="s">
        <v>197</v>
      </c>
      <c r="E68" s="39" t="s">
        <v>57</v>
      </c>
      <c r="F68" s="150" t="s">
        <v>198</v>
      </c>
      <c r="G68" s="17">
        <f>H68</f>
        <v>33091</v>
      </c>
      <c r="H68" s="17">
        <v>33091</v>
      </c>
      <c r="I68" s="17"/>
      <c r="J68" s="17"/>
      <c r="K68" s="17"/>
      <c r="L68" s="17"/>
      <c r="M68" s="17"/>
      <c r="N68" s="17">
        <f>N69-O69</f>
        <v>3542.0420000000013</v>
      </c>
      <c r="O68" s="17"/>
      <c r="P68" s="17">
        <f>P66-P67</f>
        <v>136205</v>
      </c>
      <c r="Q68" s="17">
        <v>136205</v>
      </c>
      <c r="R68" s="38"/>
      <c r="S68" s="38"/>
      <c r="T68" s="17">
        <f>U68</f>
        <v>29587</v>
      </c>
      <c r="U68" s="17">
        <f>28787+800</f>
        <v>29587</v>
      </c>
      <c r="V68" s="38"/>
      <c r="W68" s="38"/>
      <c r="X68" s="44">
        <f>Y68</f>
        <v>29782</v>
      </c>
      <c r="Y68" s="44">
        <v>29782</v>
      </c>
      <c r="Z68" s="38"/>
      <c r="AA68" s="38"/>
      <c r="AB68" s="38"/>
      <c r="AC68" s="37">
        <f>Y68-U68</f>
        <v>195</v>
      </c>
      <c r="AD68" s="44">
        <f>AE68</f>
        <v>600</v>
      </c>
      <c r="AE68" s="44">
        <v>600</v>
      </c>
      <c r="AF68" s="38"/>
      <c r="AG68" s="38"/>
      <c r="AH68" s="44">
        <f>AI68</f>
        <v>5000</v>
      </c>
      <c r="AI68" s="44">
        <v>5000</v>
      </c>
      <c r="AJ68" s="44"/>
      <c r="AK68" s="44"/>
      <c r="AL68" s="44"/>
      <c r="AM68" s="17">
        <f>AN68</f>
        <v>29782</v>
      </c>
      <c r="AN68" s="17">
        <v>29782</v>
      </c>
      <c r="AO68" s="44"/>
      <c r="AP68" s="44"/>
      <c r="AQ68" s="17"/>
      <c r="AR68" s="17">
        <v>2</v>
      </c>
      <c r="AS68" s="17">
        <f>AT68</f>
        <v>29780</v>
      </c>
      <c r="AT68" s="17">
        <f>AN68-AR68</f>
        <v>29780</v>
      </c>
      <c r="AU68" s="17"/>
      <c r="AV68" s="44"/>
      <c r="AW68" s="10" t="s">
        <v>199</v>
      </c>
      <c r="AX68" s="19"/>
      <c r="AZ68" s="13"/>
      <c r="BA68" s="13"/>
    </row>
    <row r="69" spans="1:53" s="14" customFormat="1" ht="47.25" x14ac:dyDescent="0.25">
      <c r="A69" s="39">
        <v>2</v>
      </c>
      <c r="B69" s="214" t="s">
        <v>200</v>
      </c>
      <c r="C69" s="10" t="s">
        <v>201</v>
      </c>
      <c r="D69" s="150" t="s">
        <v>202</v>
      </c>
      <c r="E69" s="150" t="s">
        <v>39</v>
      </c>
      <c r="F69" s="150" t="s">
        <v>203</v>
      </c>
      <c r="G69" s="17">
        <v>87000</v>
      </c>
      <c r="H69" s="17">
        <f>G69-19938-1242-2300</f>
        <v>63520</v>
      </c>
      <c r="I69" s="17"/>
      <c r="J69" s="17"/>
      <c r="K69" s="17"/>
      <c r="L69" s="17">
        <v>39700.741999999998</v>
      </c>
      <c r="M69" s="17">
        <v>36158.741999999998</v>
      </c>
      <c r="N69" s="17">
        <v>39700.741999999998</v>
      </c>
      <c r="O69" s="17">
        <v>36158.699999999997</v>
      </c>
      <c r="P69" s="17">
        <f>G69-L69</f>
        <v>47299.258000000002</v>
      </c>
      <c r="Q69" s="17">
        <f>P69-19938</f>
        <v>27361.258000000002</v>
      </c>
      <c r="R69" s="9"/>
      <c r="S69" s="9"/>
      <c r="T69" s="17">
        <f>P69</f>
        <v>47299.258000000002</v>
      </c>
      <c r="U69" s="17">
        <f>T69-19938</f>
        <v>27361.258000000002</v>
      </c>
      <c r="V69" s="9"/>
      <c r="W69" s="9"/>
      <c r="X69" s="44">
        <v>47299</v>
      </c>
      <c r="Y69" s="44">
        <v>27361</v>
      </c>
      <c r="Z69" s="44"/>
      <c r="AA69" s="44">
        <v>999</v>
      </c>
      <c r="AB69" s="44"/>
      <c r="AC69" s="44">
        <f>Y69-U69</f>
        <v>-0.25800000000162981</v>
      </c>
      <c r="AD69" s="44">
        <f>4000+AE69</f>
        <v>22443</v>
      </c>
      <c r="AE69" s="44">
        <f>4000+3000+11443</f>
        <v>18443</v>
      </c>
      <c r="AF69" s="9"/>
      <c r="AG69" s="9"/>
      <c r="AH69" s="44">
        <f>5738+AI69</f>
        <v>13719</v>
      </c>
      <c r="AI69" s="44">
        <v>7981</v>
      </c>
      <c r="AJ69" s="44">
        <v>999</v>
      </c>
      <c r="AK69" s="44"/>
      <c r="AL69" s="44"/>
      <c r="AM69" s="26">
        <f>AN69+19000</f>
        <v>46975</v>
      </c>
      <c r="AN69" s="26">
        <f>27361+614</f>
        <v>27975</v>
      </c>
      <c r="AO69" s="44"/>
      <c r="AP69" s="17">
        <v>999</v>
      </c>
      <c r="AQ69" s="17"/>
      <c r="AR69" s="17"/>
      <c r="AS69" s="17">
        <f>AT69+19000</f>
        <v>46975</v>
      </c>
      <c r="AT69" s="17">
        <v>27975</v>
      </c>
      <c r="AU69" s="17"/>
      <c r="AV69" s="17">
        <v>999</v>
      </c>
      <c r="AW69" s="10"/>
      <c r="AX69" s="19"/>
      <c r="AZ69" s="13"/>
      <c r="BA69" s="13"/>
    </row>
    <row r="70" spans="1:53" s="14" customFormat="1" ht="47.25" x14ac:dyDescent="0.25">
      <c r="A70" s="39">
        <v>3</v>
      </c>
      <c r="B70" s="213" t="s">
        <v>204</v>
      </c>
      <c r="C70" s="10" t="s">
        <v>83</v>
      </c>
      <c r="D70" s="150" t="s">
        <v>205</v>
      </c>
      <c r="E70" s="41" t="s">
        <v>194</v>
      </c>
      <c r="F70" s="6" t="s">
        <v>206</v>
      </c>
      <c r="G70" s="17">
        <v>11920</v>
      </c>
      <c r="H70" s="17">
        <v>11920</v>
      </c>
      <c r="I70" s="17"/>
      <c r="J70" s="17"/>
      <c r="K70" s="17"/>
      <c r="L70" s="17">
        <v>4200</v>
      </c>
      <c r="M70" s="17">
        <v>4200</v>
      </c>
      <c r="N70" s="17">
        <v>4200</v>
      </c>
      <c r="O70" s="17">
        <v>4200</v>
      </c>
      <c r="P70" s="17">
        <v>6720</v>
      </c>
      <c r="Q70" s="17">
        <v>6720</v>
      </c>
      <c r="R70" s="17"/>
      <c r="S70" s="17"/>
      <c r="T70" s="17">
        <v>6720</v>
      </c>
      <c r="U70" s="17">
        <v>6720</v>
      </c>
      <c r="V70" s="17"/>
      <c r="W70" s="17"/>
      <c r="X70" s="17">
        <f>Y70</f>
        <v>7720</v>
      </c>
      <c r="Y70" s="17">
        <f>H70-M70</f>
        <v>7720</v>
      </c>
      <c r="Z70" s="17"/>
      <c r="AA70" s="17"/>
      <c r="AB70" s="17"/>
      <c r="AC70" s="17">
        <f>Y70-U70</f>
        <v>1000</v>
      </c>
      <c r="AD70" s="17">
        <f>AE70</f>
        <v>5000</v>
      </c>
      <c r="AE70" s="17">
        <v>5000</v>
      </c>
      <c r="AF70" s="17"/>
      <c r="AG70" s="17"/>
      <c r="AH70" s="17">
        <v>2288</v>
      </c>
      <c r="AI70" s="17">
        <v>2288</v>
      </c>
      <c r="AJ70" s="17"/>
      <c r="AK70" s="17"/>
      <c r="AL70" s="17"/>
      <c r="AM70" s="17">
        <v>7720</v>
      </c>
      <c r="AN70" s="17">
        <v>7720</v>
      </c>
      <c r="AO70" s="215"/>
      <c r="AP70" s="215"/>
      <c r="AQ70" s="17"/>
      <c r="AR70" s="17">
        <v>79</v>
      </c>
      <c r="AS70" s="17">
        <f>AT70</f>
        <v>7641</v>
      </c>
      <c r="AT70" s="17">
        <f>AN70-AR70</f>
        <v>7641</v>
      </c>
      <c r="AU70" s="17"/>
      <c r="AV70" s="215"/>
      <c r="AW70" s="10"/>
      <c r="AX70" s="19"/>
      <c r="AZ70" s="13"/>
      <c r="BA70" s="13"/>
    </row>
    <row r="71" spans="1:53" s="14" customFormat="1" ht="34.5" customHeight="1" x14ac:dyDescent="0.25">
      <c r="A71" s="3" t="s">
        <v>131</v>
      </c>
      <c r="B71" s="160" t="s">
        <v>132</v>
      </c>
      <c r="C71" s="57"/>
      <c r="D71" s="202"/>
      <c r="E71" s="202"/>
      <c r="F71" s="57"/>
      <c r="G71" s="38">
        <f t="shared" ref="G71:AM71" si="111">G72+G82</f>
        <v>42249.1</v>
      </c>
      <c r="H71" s="38">
        <f t="shared" si="111"/>
        <v>36965.1</v>
      </c>
      <c r="I71" s="38">
        <f t="shared" si="111"/>
        <v>0</v>
      </c>
      <c r="J71" s="38">
        <f t="shared" si="111"/>
        <v>0</v>
      </c>
      <c r="K71" s="38">
        <f t="shared" si="111"/>
        <v>0</v>
      </c>
      <c r="L71" s="38">
        <f t="shared" si="111"/>
        <v>0</v>
      </c>
      <c r="M71" s="38">
        <f t="shared" si="111"/>
        <v>0</v>
      </c>
      <c r="N71" s="38">
        <f t="shared" si="111"/>
        <v>0</v>
      </c>
      <c r="O71" s="38">
        <f t="shared" si="111"/>
        <v>0</v>
      </c>
      <c r="P71" s="38">
        <f t="shared" si="111"/>
        <v>38850</v>
      </c>
      <c r="Q71" s="38">
        <f t="shared" si="111"/>
        <v>38850</v>
      </c>
      <c r="R71" s="38">
        <f t="shared" si="111"/>
        <v>0</v>
      </c>
      <c r="S71" s="38">
        <f t="shared" si="111"/>
        <v>0</v>
      </c>
      <c r="T71" s="38">
        <f t="shared" si="111"/>
        <v>36300</v>
      </c>
      <c r="U71" s="38">
        <f t="shared" si="111"/>
        <v>36300</v>
      </c>
      <c r="V71" s="38">
        <f t="shared" si="111"/>
        <v>0</v>
      </c>
      <c r="W71" s="38">
        <f t="shared" si="111"/>
        <v>0</v>
      </c>
      <c r="X71" s="38">
        <f t="shared" si="111"/>
        <v>28671</v>
      </c>
      <c r="Y71" s="38">
        <f t="shared" si="111"/>
        <v>27671</v>
      </c>
      <c r="Z71" s="38">
        <f t="shared" si="111"/>
        <v>0</v>
      </c>
      <c r="AA71" s="38">
        <f t="shared" si="111"/>
        <v>0</v>
      </c>
      <c r="AB71" s="38">
        <f t="shared" si="111"/>
        <v>0</v>
      </c>
      <c r="AC71" s="38">
        <f t="shared" si="111"/>
        <v>0</v>
      </c>
      <c r="AD71" s="38">
        <f t="shared" si="111"/>
        <v>0</v>
      </c>
      <c r="AE71" s="38">
        <f t="shared" si="111"/>
        <v>0</v>
      </c>
      <c r="AF71" s="38">
        <f t="shared" si="111"/>
        <v>0</v>
      </c>
      <c r="AG71" s="38">
        <f t="shared" si="111"/>
        <v>0</v>
      </c>
      <c r="AH71" s="38">
        <f t="shared" si="111"/>
        <v>300</v>
      </c>
      <c r="AI71" s="38">
        <f t="shared" si="111"/>
        <v>300</v>
      </c>
      <c r="AJ71" s="38">
        <f t="shared" si="111"/>
        <v>0</v>
      </c>
      <c r="AK71" s="38">
        <f t="shared" si="111"/>
        <v>8626.1</v>
      </c>
      <c r="AL71" s="38">
        <f t="shared" si="111"/>
        <v>3451</v>
      </c>
      <c r="AM71" s="38">
        <f t="shared" si="111"/>
        <v>42839.1</v>
      </c>
      <c r="AN71" s="38">
        <f>AN72+AN82</f>
        <v>37055.1</v>
      </c>
      <c r="AO71" s="38">
        <f t="shared" ref="AO71:AT71" si="112">AO72+AO82</f>
        <v>0</v>
      </c>
      <c r="AP71" s="38">
        <f t="shared" si="112"/>
        <v>0</v>
      </c>
      <c r="AQ71" s="38">
        <f t="shared" si="112"/>
        <v>0</v>
      </c>
      <c r="AR71" s="38">
        <f t="shared" si="112"/>
        <v>341</v>
      </c>
      <c r="AS71" s="38">
        <f t="shared" si="112"/>
        <v>42498</v>
      </c>
      <c r="AT71" s="38">
        <f t="shared" si="112"/>
        <v>36714</v>
      </c>
      <c r="AU71" s="17"/>
      <c r="AV71" s="37"/>
      <c r="AW71" s="141"/>
      <c r="AX71" s="79"/>
      <c r="AZ71" s="13"/>
      <c r="BA71" s="13"/>
    </row>
    <row r="72" spans="1:53" s="14" customFormat="1" ht="55.5" customHeight="1" x14ac:dyDescent="0.25">
      <c r="A72" s="167" t="s">
        <v>108</v>
      </c>
      <c r="B72" s="4" t="s">
        <v>133</v>
      </c>
      <c r="C72" s="57"/>
      <c r="D72" s="202"/>
      <c r="E72" s="202"/>
      <c r="F72" s="57"/>
      <c r="G72" s="101">
        <f t="shared" ref="G72:AM72" si="113">SUM(G73:G81)</f>
        <v>27840</v>
      </c>
      <c r="H72" s="101">
        <f t="shared" si="113"/>
        <v>27581</v>
      </c>
      <c r="I72" s="101">
        <f t="shared" si="113"/>
        <v>0</v>
      </c>
      <c r="J72" s="101">
        <f t="shared" si="113"/>
        <v>0</v>
      </c>
      <c r="K72" s="101">
        <f t="shared" si="113"/>
        <v>0</v>
      </c>
      <c r="L72" s="101">
        <f t="shared" si="113"/>
        <v>0</v>
      </c>
      <c r="M72" s="101">
        <f t="shared" si="113"/>
        <v>0</v>
      </c>
      <c r="N72" s="101">
        <f t="shared" si="113"/>
        <v>0</v>
      </c>
      <c r="O72" s="101">
        <f t="shared" si="113"/>
        <v>0</v>
      </c>
      <c r="P72" s="101">
        <f t="shared" si="113"/>
        <v>38850</v>
      </c>
      <c r="Q72" s="101">
        <f t="shared" si="113"/>
        <v>38850</v>
      </c>
      <c r="R72" s="101">
        <f t="shared" si="113"/>
        <v>0</v>
      </c>
      <c r="S72" s="101">
        <f t="shared" si="113"/>
        <v>0</v>
      </c>
      <c r="T72" s="101">
        <f t="shared" si="113"/>
        <v>36300</v>
      </c>
      <c r="U72" s="101">
        <f t="shared" si="113"/>
        <v>36300</v>
      </c>
      <c r="V72" s="101">
        <f t="shared" si="113"/>
        <v>0</v>
      </c>
      <c r="W72" s="101">
        <f t="shared" si="113"/>
        <v>0</v>
      </c>
      <c r="X72" s="101">
        <f t="shared" si="113"/>
        <v>28671</v>
      </c>
      <c r="Y72" s="101">
        <f t="shared" si="113"/>
        <v>27671</v>
      </c>
      <c r="Z72" s="101">
        <f t="shared" si="113"/>
        <v>0</v>
      </c>
      <c r="AA72" s="101">
        <f t="shared" si="113"/>
        <v>0</v>
      </c>
      <c r="AB72" s="101">
        <f t="shared" si="113"/>
        <v>0</v>
      </c>
      <c r="AC72" s="101">
        <f t="shared" si="113"/>
        <v>0</v>
      </c>
      <c r="AD72" s="101">
        <f t="shared" si="113"/>
        <v>0</v>
      </c>
      <c r="AE72" s="101">
        <f t="shared" si="113"/>
        <v>0</v>
      </c>
      <c r="AF72" s="101">
        <f t="shared" si="113"/>
        <v>0</v>
      </c>
      <c r="AG72" s="101">
        <f t="shared" si="113"/>
        <v>0</v>
      </c>
      <c r="AH72" s="101">
        <f t="shared" si="113"/>
        <v>300</v>
      </c>
      <c r="AI72" s="101">
        <f t="shared" si="113"/>
        <v>300</v>
      </c>
      <c r="AJ72" s="101">
        <f t="shared" si="113"/>
        <v>0</v>
      </c>
      <c r="AK72" s="101">
        <f t="shared" si="113"/>
        <v>3451</v>
      </c>
      <c r="AL72" s="101">
        <f t="shared" si="113"/>
        <v>3451</v>
      </c>
      <c r="AM72" s="101">
        <f t="shared" si="113"/>
        <v>27930</v>
      </c>
      <c r="AN72" s="101">
        <f>SUM(AN73:AN81)</f>
        <v>27671</v>
      </c>
      <c r="AO72" s="101">
        <f t="shared" ref="AO72:AT72" si="114">SUM(AO73:AO81)</f>
        <v>0</v>
      </c>
      <c r="AP72" s="101">
        <f t="shared" si="114"/>
        <v>0</v>
      </c>
      <c r="AQ72" s="101">
        <f t="shared" si="114"/>
        <v>0</v>
      </c>
      <c r="AR72" s="101">
        <f t="shared" si="114"/>
        <v>341</v>
      </c>
      <c r="AS72" s="101">
        <f t="shared" si="114"/>
        <v>27589</v>
      </c>
      <c r="AT72" s="101">
        <f t="shared" si="114"/>
        <v>27330</v>
      </c>
      <c r="AU72" s="17"/>
      <c r="AV72" s="38"/>
      <c r="AW72" s="141"/>
      <c r="AX72" s="79"/>
      <c r="AZ72" s="13"/>
      <c r="BA72" s="13"/>
    </row>
    <row r="73" spans="1:53" s="14" customFormat="1" ht="47.25" x14ac:dyDescent="0.25">
      <c r="A73" s="39">
        <v>1</v>
      </c>
      <c r="B73" s="40" t="s">
        <v>207</v>
      </c>
      <c r="C73" s="10" t="s">
        <v>83</v>
      </c>
      <c r="D73" s="36" t="s">
        <v>208</v>
      </c>
      <c r="E73" s="39" t="s">
        <v>57</v>
      </c>
      <c r="F73" s="41" t="s">
        <v>209</v>
      </c>
      <c r="G73" s="43">
        <f>H73+37</f>
        <v>3700</v>
      </c>
      <c r="H73" s="43">
        <v>3663</v>
      </c>
      <c r="I73" s="37"/>
      <c r="J73" s="37"/>
      <c r="K73" s="37"/>
      <c r="L73" s="43"/>
      <c r="M73" s="43"/>
      <c r="N73" s="43"/>
      <c r="O73" s="9"/>
      <c r="P73" s="17">
        <v>5000</v>
      </c>
      <c r="Q73" s="17">
        <v>5000</v>
      </c>
      <c r="R73" s="9"/>
      <c r="S73" s="9"/>
      <c r="T73" s="17">
        <f t="shared" ref="T73:T81" si="115">U73</f>
        <v>5000</v>
      </c>
      <c r="U73" s="17">
        <v>5000</v>
      </c>
      <c r="V73" s="9"/>
      <c r="W73" s="9"/>
      <c r="X73" s="44">
        <v>4600</v>
      </c>
      <c r="Y73" s="44">
        <v>4400</v>
      </c>
      <c r="Z73" s="17"/>
      <c r="AA73" s="17"/>
      <c r="AB73" s="17"/>
      <c r="AC73" s="37"/>
      <c r="AD73" s="17">
        <f>AE73</f>
        <v>0</v>
      </c>
      <c r="AE73" s="17"/>
      <c r="AF73" s="9"/>
      <c r="AG73" s="9"/>
      <c r="AH73" s="17">
        <v>100</v>
      </c>
      <c r="AI73" s="44">
        <v>100</v>
      </c>
      <c r="AJ73" s="9"/>
      <c r="AK73" s="38"/>
      <c r="AL73" s="17">
        <f>Y73-AN73</f>
        <v>737</v>
      </c>
      <c r="AM73" s="17">
        <v>3700</v>
      </c>
      <c r="AN73" s="17">
        <v>3663</v>
      </c>
      <c r="AO73" s="38"/>
      <c r="AP73" s="38"/>
      <c r="AQ73" s="38"/>
      <c r="AR73" s="17">
        <v>3</v>
      </c>
      <c r="AS73" s="17">
        <f>AT73+37</f>
        <v>3697</v>
      </c>
      <c r="AT73" s="17">
        <f>AN73-AR73</f>
        <v>3660</v>
      </c>
      <c r="AU73" s="38"/>
      <c r="AV73" s="38"/>
      <c r="AW73" s="10"/>
      <c r="AX73" s="11"/>
      <c r="AZ73" s="13">
        <v>1</v>
      </c>
      <c r="BA73" s="13"/>
    </row>
    <row r="74" spans="1:53" s="14" customFormat="1" ht="47.25" x14ac:dyDescent="0.25">
      <c r="A74" s="39">
        <v>2</v>
      </c>
      <c r="B74" s="40" t="s">
        <v>210</v>
      </c>
      <c r="C74" s="10" t="s">
        <v>79</v>
      </c>
      <c r="D74" s="36" t="s">
        <v>208</v>
      </c>
      <c r="E74" s="39" t="s">
        <v>57</v>
      </c>
      <c r="F74" s="41" t="s">
        <v>211</v>
      </c>
      <c r="G74" s="43">
        <f>H74+37</f>
        <v>3700</v>
      </c>
      <c r="H74" s="43">
        <v>3663</v>
      </c>
      <c r="I74" s="37"/>
      <c r="J74" s="37"/>
      <c r="K74" s="37"/>
      <c r="L74" s="43"/>
      <c r="M74" s="43"/>
      <c r="N74" s="43"/>
      <c r="O74" s="9"/>
      <c r="P74" s="17">
        <v>5000</v>
      </c>
      <c r="Q74" s="17">
        <v>5000</v>
      </c>
      <c r="R74" s="9"/>
      <c r="S74" s="9"/>
      <c r="T74" s="17">
        <f t="shared" si="115"/>
        <v>5000</v>
      </c>
      <c r="U74" s="17">
        <v>5000</v>
      </c>
      <c r="V74" s="9"/>
      <c r="W74" s="9"/>
      <c r="X74" s="44">
        <v>4600</v>
      </c>
      <c r="Y74" s="44">
        <v>4400</v>
      </c>
      <c r="Z74" s="17"/>
      <c r="AA74" s="17"/>
      <c r="AB74" s="17"/>
      <c r="AC74" s="37"/>
      <c r="AD74" s="17">
        <f>AE74</f>
        <v>0</v>
      </c>
      <c r="AE74" s="17"/>
      <c r="AF74" s="9"/>
      <c r="AG74" s="9"/>
      <c r="AH74" s="17">
        <v>100</v>
      </c>
      <c r="AI74" s="44">
        <v>100</v>
      </c>
      <c r="AJ74" s="9"/>
      <c r="AK74" s="38"/>
      <c r="AL74" s="17">
        <f>Y74-AN74</f>
        <v>737</v>
      </c>
      <c r="AM74" s="17">
        <v>3700</v>
      </c>
      <c r="AN74" s="17">
        <v>3663</v>
      </c>
      <c r="AO74" s="38"/>
      <c r="AP74" s="38"/>
      <c r="AQ74" s="38"/>
      <c r="AR74" s="17">
        <v>3</v>
      </c>
      <c r="AS74" s="17">
        <f>AT74+37</f>
        <v>3697</v>
      </c>
      <c r="AT74" s="17">
        <f t="shared" ref="AT74:AT81" si="116">AN74-AR74</f>
        <v>3660</v>
      </c>
      <c r="AU74" s="38"/>
      <c r="AV74" s="38"/>
      <c r="AW74" s="10"/>
      <c r="AX74" s="11"/>
      <c r="AZ74" s="13">
        <v>1</v>
      </c>
      <c r="BA74" s="13"/>
    </row>
    <row r="75" spans="1:53" s="14" customFormat="1" ht="47.25" x14ac:dyDescent="0.25">
      <c r="A75" s="39">
        <v>3</v>
      </c>
      <c r="B75" s="40" t="s">
        <v>212</v>
      </c>
      <c r="C75" s="10" t="s">
        <v>82</v>
      </c>
      <c r="D75" s="36" t="s">
        <v>208</v>
      </c>
      <c r="E75" s="39" t="s">
        <v>57</v>
      </c>
      <c r="F75" s="41" t="s">
        <v>213</v>
      </c>
      <c r="G75" s="43">
        <f>H75+37</f>
        <v>3700</v>
      </c>
      <c r="H75" s="43">
        <v>3663</v>
      </c>
      <c r="I75" s="37"/>
      <c r="J75" s="37"/>
      <c r="K75" s="37"/>
      <c r="L75" s="43"/>
      <c r="M75" s="43"/>
      <c r="N75" s="43"/>
      <c r="O75" s="9"/>
      <c r="P75" s="17">
        <v>4600</v>
      </c>
      <c r="Q75" s="17">
        <v>4600</v>
      </c>
      <c r="R75" s="9"/>
      <c r="S75" s="9"/>
      <c r="T75" s="17">
        <f t="shared" si="115"/>
        <v>4600</v>
      </c>
      <c r="U75" s="17">
        <v>4600</v>
      </c>
      <c r="V75" s="9"/>
      <c r="W75" s="9"/>
      <c r="X75" s="44">
        <v>4600</v>
      </c>
      <c r="Y75" s="44">
        <v>4400</v>
      </c>
      <c r="Z75" s="17"/>
      <c r="AA75" s="17"/>
      <c r="AB75" s="17"/>
      <c r="AC75" s="37"/>
      <c r="AD75" s="17"/>
      <c r="AE75" s="17"/>
      <c r="AF75" s="9"/>
      <c r="AG75" s="9"/>
      <c r="AH75" s="17">
        <v>100</v>
      </c>
      <c r="AI75" s="44">
        <v>100</v>
      </c>
      <c r="AJ75" s="9"/>
      <c r="AK75" s="38"/>
      <c r="AL75" s="17">
        <f>Y75-AN75</f>
        <v>737</v>
      </c>
      <c r="AM75" s="17">
        <v>3700</v>
      </c>
      <c r="AN75" s="17">
        <v>3663</v>
      </c>
      <c r="AO75" s="38"/>
      <c r="AP75" s="38"/>
      <c r="AQ75" s="38"/>
      <c r="AR75" s="17">
        <v>3</v>
      </c>
      <c r="AS75" s="17">
        <f>AT75+37</f>
        <v>3697</v>
      </c>
      <c r="AT75" s="17">
        <f t="shared" si="116"/>
        <v>3660</v>
      </c>
      <c r="AU75" s="38"/>
      <c r="AV75" s="38"/>
      <c r="AW75" s="10"/>
      <c r="AX75" s="11"/>
      <c r="AZ75" s="13">
        <v>1</v>
      </c>
      <c r="BA75" s="13"/>
    </row>
    <row r="76" spans="1:53" s="14" customFormat="1" ht="47.25" x14ac:dyDescent="0.25">
      <c r="A76" s="39">
        <v>4</v>
      </c>
      <c r="B76" s="40" t="s">
        <v>214</v>
      </c>
      <c r="C76" s="10" t="s">
        <v>81</v>
      </c>
      <c r="D76" s="36" t="s">
        <v>215</v>
      </c>
      <c r="E76" s="1" t="s">
        <v>65</v>
      </c>
      <c r="F76" s="1" t="s">
        <v>560</v>
      </c>
      <c r="G76" s="33">
        <v>4080</v>
      </c>
      <c r="H76" s="33">
        <v>4045</v>
      </c>
      <c r="I76" s="37"/>
      <c r="J76" s="37"/>
      <c r="K76" s="37"/>
      <c r="L76" s="43"/>
      <c r="M76" s="43"/>
      <c r="N76" s="43"/>
      <c r="O76" s="9"/>
      <c r="P76" s="17">
        <v>8550</v>
      </c>
      <c r="Q76" s="17">
        <v>8550</v>
      </c>
      <c r="R76" s="9"/>
      <c r="S76" s="9"/>
      <c r="T76" s="17">
        <f>U76</f>
        <v>7000</v>
      </c>
      <c r="U76" s="17">
        <v>7000</v>
      </c>
      <c r="V76" s="9"/>
      <c r="W76" s="9"/>
      <c r="X76" s="44">
        <v>4900</v>
      </c>
      <c r="Y76" s="44">
        <v>4800</v>
      </c>
      <c r="Z76" s="17"/>
      <c r="AA76" s="17"/>
      <c r="AB76" s="17"/>
      <c r="AC76" s="37"/>
      <c r="AD76" s="17">
        <f>AE76</f>
        <v>0</v>
      </c>
      <c r="AE76" s="17"/>
      <c r="AF76" s="9"/>
      <c r="AG76" s="9"/>
      <c r="AH76" s="17">
        <f>AI76</f>
        <v>0</v>
      </c>
      <c r="AI76" s="44">
        <v>0</v>
      </c>
      <c r="AJ76" s="9"/>
      <c r="AK76" s="38"/>
      <c r="AL76" s="17">
        <f>Y76-AN76</f>
        <v>755</v>
      </c>
      <c r="AM76" s="17">
        <v>4080</v>
      </c>
      <c r="AN76" s="17">
        <v>4045</v>
      </c>
      <c r="AO76" s="38"/>
      <c r="AP76" s="38"/>
      <c r="AQ76" s="38"/>
      <c r="AR76" s="17">
        <v>45</v>
      </c>
      <c r="AS76" s="17">
        <f>AT76+35</f>
        <v>4035</v>
      </c>
      <c r="AT76" s="17">
        <f t="shared" si="116"/>
        <v>4000</v>
      </c>
      <c r="AU76" s="38"/>
      <c r="AV76" s="38"/>
      <c r="AW76" s="10"/>
      <c r="AX76" s="11"/>
      <c r="AZ76" s="13">
        <v>1</v>
      </c>
      <c r="BA76" s="13"/>
    </row>
    <row r="77" spans="1:53" s="14" customFormat="1" ht="47.25" x14ac:dyDescent="0.25">
      <c r="A77" s="39">
        <v>5</v>
      </c>
      <c r="B77" s="40" t="s">
        <v>216</v>
      </c>
      <c r="C77" s="10" t="s">
        <v>84</v>
      </c>
      <c r="D77" s="36" t="s">
        <v>217</v>
      </c>
      <c r="E77" s="1" t="s">
        <v>65</v>
      </c>
      <c r="F77" s="1" t="s">
        <v>561</v>
      </c>
      <c r="G77" s="33">
        <v>4260</v>
      </c>
      <c r="H77" s="33">
        <v>4225</v>
      </c>
      <c r="I77" s="37"/>
      <c r="J77" s="37"/>
      <c r="K77" s="37"/>
      <c r="L77" s="43"/>
      <c r="M77" s="43"/>
      <c r="N77" s="43"/>
      <c r="O77" s="9"/>
      <c r="P77" s="17">
        <v>6500</v>
      </c>
      <c r="Q77" s="17">
        <v>6500</v>
      </c>
      <c r="R77" s="9"/>
      <c r="S77" s="9"/>
      <c r="T77" s="17">
        <f>U77</f>
        <v>5500</v>
      </c>
      <c r="U77" s="17">
        <v>5500</v>
      </c>
      <c r="V77" s="9"/>
      <c r="W77" s="9"/>
      <c r="X77" s="44">
        <v>4900</v>
      </c>
      <c r="Y77" s="44">
        <v>4800</v>
      </c>
      <c r="Z77" s="17"/>
      <c r="AA77" s="17"/>
      <c r="AB77" s="17"/>
      <c r="AC77" s="37"/>
      <c r="AD77" s="17">
        <f>AE77</f>
        <v>0</v>
      </c>
      <c r="AE77" s="17"/>
      <c r="AF77" s="9"/>
      <c r="AG77" s="9"/>
      <c r="AH77" s="17">
        <f>AI77</f>
        <v>0</v>
      </c>
      <c r="AI77" s="44">
        <v>0</v>
      </c>
      <c r="AJ77" s="9"/>
      <c r="AK77" s="38"/>
      <c r="AL77" s="17">
        <f>Y77-AN77</f>
        <v>485</v>
      </c>
      <c r="AM77" s="17">
        <v>4350</v>
      </c>
      <c r="AN77" s="17">
        <v>4315</v>
      </c>
      <c r="AO77" s="38"/>
      <c r="AP77" s="38"/>
      <c r="AQ77" s="38"/>
      <c r="AR77" s="17">
        <v>115</v>
      </c>
      <c r="AS77" s="17">
        <f>AT77+35</f>
        <v>4235</v>
      </c>
      <c r="AT77" s="17">
        <f t="shared" si="116"/>
        <v>4200</v>
      </c>
      <c r="AU77" s="38"/>
      <c r="AV77" s="38"/>
      <c r="AW77" s="10"/>
      <c r="AX77" s="11"/>
      <c r="AZ77" s="13">
        <v>1</v>
      </c>
      <c r="BA77" s="13"/>
    </row>
    <row r="78" spans="1:53" s="14" customFormat="1" ht="47.25" x14ac:dyDescent="0.25">
      <c r="A78" s="39">
        <v>6</v>
      </c>
      <c r="B78" s="40" t="s">
        <v>218</v>
      </c>
      <c r="C78" s="10" t="s">
        <v>84</v>
      </c>
      <c r="D78" s="36" t="s">
        <v>159</v>
      </c>
      <c r="E78" s="1" t="s">
        <v>65</v>
      </c>
      <c r="F78" s="1" t="s">
        <v>562</v>
      </c>
      <c r="G78" s="33">
        <v>2020</v>
      </c>
      <c r="H78" s="33">
        <v>2005</v>
      </c>
      <c r="I78" s="37"/>
      <c r="J78" s="37"/>
      <c r="K78" s="37"/>
      <c r="L78" s="43"/>
      <c r="M78" s="43"/>
      <c r="N78" s="43"/>
      <c r="O78" s="9"/>
      <c r="P78" s="17">
        <v>2000</v>
      </c>
      <c r="Q78" s="17">
        <v>2000</v>
      </c>
      <c r="R78" s="9"/>
      <c r="S78" s="9"/>
      <c r="T78" s="17">
        <f t="shared" si="115"/>
        <v>2000</v>
      </c>
      <c r="U78" s="17">
        <v>2000</v>
      </c>
      <c r="V78" s="9"/>
      <c r="W78" s="9"/>
      <c r="X78" s="44">
        <v>1321</v>
      </c>
      <c r="Y78" s="44">
        <v>1271</v>
      </c>
      <c r="Z78" s="17"/>
      <c r="AA78" s="17"/>
      <c r="AB78" s="17"/>
      <c r="AC78" s="37"/>
      <c r="AD78" s="17"/>
      <c r="AE78" s="17"/>
      <c r="AF78" s="9"/>
      <c r="AG78" s="9"/>
      <c r="AH78" s="9"/>
      <c r="AI78" s="44"/>
      <c r="AJ78" s="9"/>
      <c r="AK78" s="17">
        <f>AN78-Y78</f>
        <v>734</v>
      </c>
      <c r="AL78" s="17"/>
      <c r="AM78" s="17">
        <v>2020</v>
      </c>
      <c r="AN78" s="17">
        <v>2005</v>
      </c>
      <c r="AO78" s="38"/>
      <c r="AP78" s="38"/>
      <c r="AQ78" s="38"/>
      <c r="AR78" s="17">
        <v>55</v>
      </c>
      <c r="AS78" s="17">
        <f>AT78+15</f>
        <v>1965</v>
      </c>
      <c r="AT78" s="17">
        <f t="shared" si="116"/>
        <v>1950</v>
      </c>
      <c r="AU78" s="38"/>
      <c r="AV78" s="38"/>
      <c r="AW78" s="10"/>
      <c r="AX78" s="11"/>
      <c r="AZ78" s="13"/>
      <c r="BA78" s="13">
        <v>1</v>
      </c>
    </row>
    <row r="79" spans="1:53" s="14" customFormat="1" ht="47.25" x14ac:dyDescent="0.25">
      <c r="A79" s="39">
        <v>7</v>
      </c>
      <c r="B79" s="40" t="s">
        <v>219</v>
      </c>
      <c r="C79" s="10" t="s">
        <v>82</v>
      </c>
      <c r="D79" s="36" t="s">
        <v>159</v>
      </c>
      <c r="E79" s="1" t="s">
        <v>65</v>
      </c>
      <c r="F79" s="1" t="s">
        <v>563</v>
      </c>
      <c r="G79" s="33">
        <v>2180</v>
      </c>
      <c r="H79" s="33">
        <v>2160</v>
      </c>
      <c r="I79" s="37"/>
      <c r="J79" s="37"/>
      <c r="K79" s="37"/>
      <c r="L79" s="43"/>
      <c r="M79" s="43"/>
      <c r="N79" s="43"/>
      <c r="O79" s="9"/>
      <c r="P79" s="17">
        <v>2400</v>
      </c>
      <c r="Q79" s="17">
        <v>2400</v>
      </c>
      <c r="R79" s="9"/>
      <c r="S79" s="9"/>
      <c r="T79" s="17">
        <f t="shared" si="115"/>
        <v>2400</v>
      </c>
      <c r="U79" s="17">
        <v>2400</v>
      </c>
      <c r="V79" s="9"/>
      <c r="W79" s="9"/>
      <c r="X79" s="44">
        <v>1250</v>
      </c>
      <c r="Y79" s="44">
        <v>1200</v>
      </c>
      <c r="Z79" s="17"/>
      <c r="AA79" s="17"/>
      <c r="AB79" s="17"/>
      <c r="AC79" s="37"/>
      <c r="AD79" s="17"/>
      <c r="AE79" s="17"/>
      <c r="AF79" s="9"/>
      <c r="AG79" s="9"/>
      <c r="AH79" s="9"/>
      <c r="AI79" s="44"/>
      <c r="AJ79" s="9"/>
      <c r="AK79" s="17">
        <f>AN79-Y79</f>
        <v>960</v>
      </c>
      <c r="AL79" s="17"/>
      <c r="AM79" s="17">
        <v>2180</v>
      </c>
      <c r="AN79" s="17">
        <v>2160</v>
      </c>
      <c r="AO79" s="38"/>
      <c r="AP79" s="38"/>
      <c r="AQ79" s="38"/>
      <c r="AR79" s="17">
        <v>60</v>
      </c>
      <c r="AS79" s="17">
        <f>AT79+20</f>
        <v>2120</v>
      </c>
      <c r="AT79" s="17">
        <f t="shared" si="116"/>
        <v>2100</v>
      </c>
      <c r="AU79" s="38"/>
      <c r="AV79" s="38"/>
      <c r="AW79" s="10"/>
      <c r="AX79" s="11"/>
      <c r="AZ79" s="13"/>
      <c r="BA79" s="13">
        <v>1</v>
      </c>
    </row>
    <row r="80" spans="1:53" s="14" customFormat="1" ht="47.25" x14ac:dyDescent="0.25">
      <c r="A80" s="190">
        <v>8</v>
      </c>
      <c r="B80" s="40" t="s">
        <v>220</v>
      </c>
      <c r="C80" s="10" t="s">
        <v>85</v>
      </c>
      <c r="D80" s="36" t="s">
        <v>159</v>
      </c>
      <c r="E80" s="1" t="s">
        <v>65</v>
      </c>
      <c r="F80" s="1" t="s">
        <v>564</v>
      </c>
      <c r="G80" s="33">
        <v>2150</v>
      </c>
      <c r="H80" s="33">
        <v>2130</v>
      </c>
      <c r="I80" s="37"/>
      <c r="J80" s="37"/>
      <c r="K80" s="37"/>
      <c r="L80" s="43"/>
      <c r="M80" s="43"/>
      <c r="N80" s="43"/>
      <c r="O80" s="9"/>
      <c r="P80" s="17">
        <v>2400</v>
      </c>
      <c r="Q80" s="17">
        <v>2400</v>
      </c>
      <c r="R80" s="9"/>
      <c r="S80" s="9"/>
      <c r="T80" s="17">
        <f t="shared" si="115"/>
        <v>2400</v>
      </c>
      <c r="U80" s="17">
        <v>2400</v>
      </c>
      <c r="V80" s="9"/>
      <c r="W80" s="9"/>
      <c r="X80" s="44">
        <v>1250</v>
      </c>
      <c r="Y80" s="44">
        <v>1200</v>
      </c>
      <c r="Z80" s="17"/>
      <c r="AA80" s="17"/>
      <c r="AB80" s="17"/>
      <c r="AC80" s="37"/>
      <c r="AD80" s="17"/>
      <c r="AE80" s="17"/>
      <c r="AF80" s="9"/>
      <c r="AG80" s="9"/>
      <c r="AH80" s="9"/>
      <c r="AI80" s="44"/>
      <c r="AJ80" s="9"/>
      <c r="AK80" s="17">
        <f>AN80-Y80</f>
        <v>930</v>
      </c>
      <c r="AL80" s="17"/>
      <c r="AM80" s="17">
        <v>2150</v>
      </c>
      <c r="AN80" s="17">
        <v>2130</v>
      </c>
      <c r="AO80" s="38"/>
      <c r="AP80" s="38"/>
      <c r="AQ80" s="38"/>
      <c r="AR80" s="17">
        <v>30</v>
      </c>
      <c r="AS80" s="17">
        <f>AT80+20</f>
        <v>2120</v>
      </c>
      <c r="AT80" s="17">
        <f t="shared" si="116"/>
        <v>2100</v>
      </c>
      <c r="AU80" s="38"/>
      <c r="AV80" s="38"/>
      <c r="AW80" s="10"/>
      <c r="AX80" s="11"/>
      <c r="AZ80" s="13"/>
      <c r="BA80" s="13">
        <v>1</v>
      </c>
    </row>
    <row r="81" spans="1:54" s="14" customFormat="1" ht="47.25" x14ac:dyDescent="0.25">
      <c r="A81" s="39">
        <v>9</v>
      </c>
      <c r="B81" s="40" t="s">
        <v>221</v>
      </c>
      <c r="C81" s="10" t="s">
        <v>80</v>
      </c>
      <c r="D81" s="36" t="s">
        <v>159</v>
      </c>
      <c r="E81" s="1" t="s">
        <v>65</v>
      </c>
      <c r="F81" s="1" t="s">
        <v>565</v>
      </c>
      <c r="G81" s="33">
        <v>2050</v>
      </c>
      <c r="H81" s="33">
        <v>2027</v>
      </c>
      <c r="I81" s="37"/>
      <c r="J81" s="37"/>
      <c r="K81" s="37"/>
      <c r="L81" s="43"/>
      <c r="M81" s="43"/>
      <c r="N81" s="43"/>
      <c r="O81" s="9"/>
      <c r="P81" s="17">
        <f>Q81</f>
        <v>2400</v>
      </c>
      <c r="Q81" s="17">
        <v>2400</v>
      </c>
      <c r="R81" s="9"/>
      <c r="S81" s="9"/>
      <c r="T81" s="17">
        <f t="shared" si="115"/>
        <v>2400</v>
      </c>
      <c r="U81" s="17">
        <v>2400</v>
      </c>
      <c r="V81" s="9"/>
      <c r="W81" s="9"/>
      <c r="X81" s="44">
        <v>1250</v>
      </c>
      <c r="Y81" s="44">
        <v>1200</v>
      </c>
      <c r="Z81" s="17"/>
      <c r="AA81" s="17"/>
      <c r="AB81" s="17"/>
      <c r="AC81" s="37"/>
      <c r="AD81" s="17"/>
      <c r="AE81" s="17"/>
      <c r="AF81" s="9"/>
      <c r="AG81" s="9"/>
      <c r="AH81" s="9"/>
      <c r="AI81" s="44"/>
      <c r="AJ81" s="9"/>
      <c r="AK81" s="17">
        <f>AN81-Y81</f>
        <v>827</v>
      </c>
      <c r="AL81" s="17"/>
      <c r="AM81" s="17">
        <v>2050</v>
      </c>
      <c r="AN81" s="17">
        <v>2027</v>
      </c>
      <c r="AO81" s="38"/>
      <c r="AP81" s="38"/>
      <c r="AQ81" s="38"/>
      <c r="AR81" s="17">
        <v>27</v>
      </c>
      <c r="AS81" s="17">
        <f>AT81+23</f>
        <v>2023</v>
      </c>
      <c r="AT81" s="17">
        <f t="shared" si="116"/>
        <v>2000</v>
      </c>
      <c r="AU81" s="38"/>
      <c r="AV81" s="38"/>
      <c r="AW81" s="10"/>
      <c r="AX81" s="11"/>
      <c r="AZ81" s="13"/>
      <c r="BA81" s="13">
        <v>1</v>
      </c>
    </row>
    <row r="82" spans="1:54" s="91" customFormat="1" ht="27.95" customHeight="1" x14ac:dyDescent="0.25">
      <c r="A82" s="34" t="s">
        <v>108</v>
      </c>
      <c r="B82" s="318" t="s">
        <v>553</v>
      </c>
      <c r="C82" s="10"/>
      <c r="D82" s="319"/>
      <c r="E82" s="320"/>
      <c r="F82" s="320"/>
      <c r="G82" s="321">
        <f t="shared" ref="G82:AT82" si="117">SUM(G83:G85)</f>
        <v>14409.1</v>
      </c>
      <c r="H82" s="321">
        <f t="shared" si="117"/>
        <v>9384.1</v>
      </c>
      <c r="I82" s="321">
        <f t="shared" si="117"/>
        <v>0</v>
      </c>
      <c r="J82" s="321">
        <f t="shared" si="117"/>
        <v>0</v>
      </c>
      <c r="K82" s="321">
        <f t="shared" si="117"/>
        <v>0</v>
      </c>
      <c r="L82" s="321">
        <f t="shared" si="117"/>
        <v>0</v>
      </c>
      <c r="M82" s="321">
        <f t="shared" si="117"/>
        <v>0</v>
      </c>
      <c r="N82" s="321">
        <f t="shared" si="117"/>
        <v>0</v>
      </c>
      <c r="O82" s="321">
        <f t="shared" si="117"/>
        <v>0</v>
      </c>
      <c r="P82" s="321">
        <f t="shared" si="117"/>
        <v>0</v>
      </c>
      <c r="Q82" s="321">
        <f t="shared" si="117"/>
        <v>0</v>
      </c>
      <c r="R82" s="321">
        <f t="shared" si="117"/>
        <v>0</v>
      </c>
      <c r="S82" s="321">
        <f t="shared" si="117"/>
        <v>0</v>
      </c>
      <c r="T82" s="321">
        <f t="shared" si="117"/>
        <v>0</v>
      </c>
      <c r="U82" s="321">
        <f t="shared" si="117"/>
        <v>0</v>
      </c>
      <c r="V82" s="321">
        <f t="shared" si="117"/>
        <v>0</v>
      </c>
      <c r="W82" s="321">
        <f t="shared" si="117"/>
        <v>0</v>
      </c>
      <c r="X82" s="321">
        <f t="shared" si="117"/>
        <v>0</v>
      </c>
      <c r="Y82" s="321">
        <f t="shared" si="117"/>
        <v>0</v>
      </c>
      <c r="Z82" s="321">
        <f t="shared" si="117"/>
        <v>0</v>
      </c>
      <c r="AA82" s="321">
        <f t="shared" si="117"/>
        <v>0</v>
      </c>
      <c r="AB82" s="321">
        <f t="shared" si="117"/>
        <v>0</v>
      </c>
      <c r="AC82" s="321">
        <f t="shared" si="117"/>
        <v>0</v>
      </c>
      <c r="AD82" s="321">
        <f t="shared" si="117"/>
        <v>0</v>
      </c>
      <c r="AE82" s="321">
        <f t="shared" si="117"/>
        <v>0</v>
      </c>
      <c r="AF82" s="321">
        <f t="shared" si="117"/>
        <v>0</v>
      </c>
      <c r="AG82" s="321">
        <f t="shared" si="117"/>
        <v>0</v>
      </c>
      <c r="AH82" s="321">
        <f t="shared" si="117"/>
        <v>0</v>
      </c>
      <c r="AI82" s="321">
        <f t="shared" si="117"/>
        <v>0</v>
      </c>
      <c r="AJ82" s="321">
        <f t="shared" si="117"/>
        <v>0</v>
      </c>
      <c r="AK82" s="321">
        <f t="shared" si="117"/>
        <v>5175.1000000000004</v>
      </c>
      <c r="AL82" s="321">
        <f t="shared" si="117"/>
        <v>0</v>
      </c>
      <c r="AM82" s="321">
        <f t="shared" si="117"/>
        <v>14909.1</v>
      </c>
      <c r="AN82" s="321">
        <f t="shared" si="117"/>
        <v>9384.1</v>
      </c>
      <c r="AO82" s="321">
        <f t="shared" si="117"/>
        <v>0</v>
      </c>
      <c r="AP82" s="321">
        <f t="shared" si="117"/>
        <v>0</v>
      </c>
      <c r="AQ82" s="321">
        <f t="shared" si="117"/>
        <v>0</v>
      </c>
      <c r="AR82" s="321">
        <f t="shared" si="117"/>
        <v>0</v>
      </c>
      <c r="AS82" s="321">
        <f t="shared" si="117"/>
        <v>14909</v>
      </c>
      <c r="AT82" s="321">
        <f t="shared" si="117"/>
        <v>9384</v>
      </c>
      <c r="AU82" s="321"/>
      <c r="AV82" s="321"/>
      <c r="AW82" s="10"/>
      <c r="AX82" s="322"/>
      <c r="AZ82" s="92"/>
      <c r="BA82" s="92"/>
    </row>
    <row r="83" spans="1:54" s="91" customFormat="1" ht="63" x14ac:dyDescent="0.25">
      <c r="A83" s="323">
        <v>1</v>
      </c>
      <c r="B83" s="324" t="s">
        <v>222</v>
      </c>
      <c r="C83" s="10"/>
      <c r="D83" s="319"/>
      <c r="E83" s="320" t="s">
        <v>61</v>
      </c>
      <c r="F83" s="89"/>
      <c r="G83" s="42">
        <v>5190.1000000000004</v>
      </c>
      <c r="H83" s="42">
        <v>5175.1000000000004</v>
      </c>
      <c r="I83" s="325"/>
      <c r="J83" s="325"/>
      <c r="K83" s="325"/>
      <c r="L83" s="326"/>
      <c r="M83" s="326"/>
      <c r="N83" s="326"/>
      <c r="O83" s="327"/>
      <c r="P83" s="194"/>
      <c r="Q83" s="194"/>
      <c r="R83" s="327"/>
      <c r="S83" s="327"/>
      <c r="T83" s="194"/>
      <c r="U83" s="194"/>
      <c r="V83" s="327"/>
      <c r="W83" s="327"/>
      <c r="X83" s="328"/>
      <c r="Y83" s="328"/>
      <c r="Z83" s="194"/>
      <c r="AA83" s="194"/>
      <c r="AB83" s="194"/>
      <c r="AC83" s="325"/>
      <c r="AD83" s="194"/>
      <c r="AE83" s="194"/>
      <c r="AF83" s="327"/>
      <c r="AG83" s="327"/>
      <c r="AH83" s="327"/>
      <c r="AI83" s="328"/>
      <c r="AJ83" s="327"/>
      <c r="AK83" s="194">
        <v>5175.1000000000004</v>
      </c>
      <c r="AL83" s="194"/>
      <c r="AM83" s="194">
        <v>5190.1000000000004</v>
      </c>
      <c r="AN83" s="194">
        <v>5175.1000000000004</v>
      </c>
      <c r="AO83" s="321"/>
      <c r="AP83" s="321"/>
      <c r="AQ83" s="194"/>
      <c r="AR83" s="321"/>
      <c r="AS83" s="194">
        <f>AT83+15</f>
        <v>5190</v>
      </c>
      <c r="AT83" s="194">
        <v>5175</v>
      </c>
      <c r="AU83" s="321"/>
      <c r="AV83" s="321"/>
      <c r="AW83" s="10" t="s">
        <v>223</v>
      </c>
      <c r="AX83" s="322"/>
      <c r="AZ83" s="92"/>
      <c r="BA83" s="92"/>
      <c r="BB83" s="91">
        <v>1</v>
      </c>
    </row>
    <row r="84" spans="1:54" s="91" customFormat="1" ht="31.5" x14ac:dyDescent="0.25">
      <c r="A84" s="329">
        <v>2</v>
      </c>
      <c r="B84" s="324" t="s">
        <v>536</v>
      </c>
      <c r="C84" s="10"/>
      <c r="D84" s="319"/>
      <c r="E84" s="320" t="s">
        <v>61</v>
      </c>
      <c r="F84" s="89"/>
      <c r="G84" s="42">
        <v>8000</v>
      </c>
      <c r="H84" s="42">
        <v>3000</v>
      </c>
      <c r="I84" s="325"/>
      <c r="J84" s="325"/>
      <c r="K84" s="325"/>
      <c r="L84" s="326"/>
      <c r="M84" s="326"/>
      <c r="N84" s="326"/>
      <c r="O84" s="327"/>
      <c r="P84" s="194"/>
      <c r="Q84" s="194"/>
      <c r="R84" s="327"/>
      <c r="S84" s="327"/>
      <c r="T84" s="194"/>
      <c r="U84" s="194"/>
      <c r="V84" s="327"/>
      <c r="W84" s="327"/>
      <c r="X84" s="328"/>
      <c r="Y84" s="328"/>
      <c r="Z84" s="194"/>
      <c r="AA84" s="194"/>
      <c r="AB84" s="194"/>
      <c r="AC84" s="325"/>
      <c r="AD84" s="194"/>
      <c r="AE84" s="194"/>
      <c r="AF84" s="327"/>
      <c r="AG84" s="327"/>
      <c r="AH84" s="327"/>
      <c r="AI84" s="328"/>
      <c r="AJ84" s="327"/>
      <c r="AK84" s="330"/>
      <c r="AL84" s="330"/>
      <c r="AM84" s="330">
        <f>AN84+5461+39</f>
        <v>8500</v>
      </c>
      <c r="AN84" s="330">
        <v>3000</v>
      </c>
      <c r="AO84" s="321"/>
      <c r="AP84" s="331"/>
      <c r="AQ84" s="330"/>
      <c r="AR84" s="331"/>
      <c r="AS84" s="330">
        <f>AT84+5500</f>
        <v>8500</v>
      </c>
      <c r="AT84" s="194">
        <v>3000</v>
      </c>
      <c r="AU84" s="331"/>
      <c r="AV84" s="331"/>
      <c r="AW84" s="46"/>
      <c r="AX84" s="322"/>
      <c r="AZ84" s="332"/>
      <c r="BA84" s="333"/>
    </row>
    <row r="85" spans="1:54" s="91" customFormat="1" ht="47.1" customHeight="1" x14ac:dyDescent="0.25">
      <c r="A85" s="329">
        <v>3</v>
      </c>
      <c r="B85" s="334" t="s">
        <v>537</v>
      </c>
      <c r="C85" s="10"/>
      <c r="D85" s="319"/>
      <c r="E85" s="320" t="s">
        <v>61</v>
      </c>
      <c r="F85" s="89"/>
      <c r="G85" s="42">
        <v>1219</v>
      </c>
      <c r="H85" s="42">
        <v>1209</v>
      </c>
      <c r="I85" s="325"/>
      <c r="J85" s="325"/>
      <c r="K85" s="325"/>
      <c r="L85" s="326"/>
      <c r="M85" s="326"/>
      <c r="N85" s="326"/>
      <c r="O85" s="327"/>
      <c r="P85" s="194"/>
      <c r="Q85" s="194"/>
      <c r="R85" s="327"/>
      <c r="S85" s="327"/>
      <c r="T85" s="194"/>
      <c r="U85" s="194"/>
      <c r="V85" s="327"/>
      <c r="W85" s="327"/>
      <c r="X85" s="328"/>
      <c r="Y85" s="328"/>
      <c r="Z85" s="194"/>
      <c r="AA85" s="194"/>
      <c r="AB85" s="194"/>
      <c r="AC85" s="325"/>
      <c r="AD85" s="194"/>
      <c r="AE85" s="194"/>
      <c r="AF85" s="327"/>
      <c r="AG85" s="327"/>
      <c r="AH85" s="327"/>
      <c r="AI85" s="328"/>
      <c r="AJ85" s="327"/>
      <c r="AK85" s="330"/>
      <c r="AL85" s="330"/>
      <c r="AM85" s="330">
        <f>AN85+10</f>
        <v>1219</v>
      </c>
      <c r="AN85" s="330">
        <v>1209</v>
      </c>
      <c r="AO85" s="321"/>
      <c r="AP85" s="331"/>
      <c r="AQ85" s="330"/>
      <c r="AR85" s="331"/>
      <c r="AS85" s="330">
        <f>AT85+10</f>
        <v>1219</v>
      </c>
      <c r="AT85" s="194">
        <v>1209</v>
      </c>
      <c r="AU85" s="331"/>
      <c r="AV85" s="331"/>
      <c r="AW85" s="46"/>
      <c r="AX85" s="322"/>
      <c r="AZ85" s="332"/>
      <c r="BA85" s="333"/>
    </row>
    <row r="86" spans="1:54" s="14" customFormat="1" ht="20.45" customHeight="1" x14ac:dyDescent="0.25">
      <c r="A86" s="190"/>
      <c r="B86" s="40"/>
      <c r="C86" s="57"/>
      <c r="D86" s="36"/>
      <c r="E86" s="36"/>
      <c r="F86" s="216"/>
      <c r="G86" s="151"/>
      <c r="H86" s="43"/>
      <c r="I86" s="37"/>
      <c r="J86" s="37"/>
      <c r="K86" s="37"/>
      <c r="L86" s="44"/>
      <c r="M86" s="44"/>
      <c r="N86" s="44"/>
      <c r="O86" s="44"/>
      <c r="P86" s="17"/>
      <c r="Q86" s="17"/>
      <c r="R86" s="9"/>
      <c r="S86" s="9"/>
      <c r="T86" s="17"/>
      <c r="U86" s="43"/>
      <c r="V86" s="9"/>
      <c r="W86" s="9"/>
      <c r="X86" s="44"/>
      <c r="Y86" s="44"/>
      <c r="Z86" s="44"/>
      <c r="AA86" s="44"/>
      <c r="AB86" s="44"/>
      <c r="AC86" s="44"/>
      <c r="AD86" s="44"/>
      <c r="AE86" s="44"/>
      <c r="AF86" s="44"/>
      <c r="AG86" s="44"/>
      <c r="AH86" s="44"/>
      <c r="AI86" s="44"/>
      <c r="AJ86" s="9"/>
      <c r="AK86" s="217"/>
      <c r="AL86" s="217"/>
      <c r="AM86" s="217"/>
      <c r="AN86" s="217"/>
      <c r="AO86" s="217"/>
      <c r="AP86" s="217"/>
      <c r="AQ86" s="217"/>
      <c r="AR86" s="217"/>
      <c r="AS86" s="217"/>
      <c r="AT86" s="217"/>
      <c r="AU86" s="217"/>
      <c r="AV86" s="217"/>
      <c r="AW86" s="218"/>
      <c r="AX86" s="67"/>
      <c r="AZ86" s="47"/>
      <c r="BA86" s="48"/>
    </row>
    <row r="87" spans="1:54" s="14" customFormat="1" ht="27.6" customHeight="1" x14ac:dyDescent="0.25">
      <c r="A87" s="859" t="s">
        <v>225</v>
      </c>
      <c r="B87" s="860"/>
      <c r="C87" s="57"/>
      <c r="D87" s="158"/>
      <c r="E87" s="158"/>
      <c r="F87" s="57"/>
      <c r="G87" s="38">
        <f t="shared" ref="G87:AS87" si="118">G88+G89</f>
        <v>348853.82</v>
      </c>
      <c r="H87" s="38">
        <f t="shared" si="118"/>
        <v>195091.82</v>
      </c>
      <c r="I87" s="38">
        <f t="shared" si="118"/>
        <v>0</v>
      </c>
      <c r="J87" s="38">
        <f t="shared" si="118"/>
        <v>0</v>
      </c>
      <c r="K87" s="38">
        <f t="shared" si="118"/>
        <v>0</v>
      </c>
      <c r="L87" s="38">
        <f t="shared" si="118"/>
        <v>229697.26699999999</v>
      </c>
      <c r="M87" s="38">
        <f t="shared" si="118"/>
        <v>82647.266999999993</v>
      </c>
      <c r="N87" s="38">
        <f t="shared" si="118"/>
        <v>80923.266999999993</v>
      </c>
      <c r="O87" s="38">
        <f t="shared" si="118"/>
        <v>80923.266999999993</v>
      </c>
      <c r="P87" s="38">
        <f t="shared" si="118"/>
        <v>144120.1</v>
      </c>
      <c r="Q87" s="38">
        <f t="shared" si="118"/>
        <v>141324.1</v>
      </c>
      <c r="R87" s="38">
        <f t="shared" si="118"/>
        <v>0</v>
      </c>
      <c r="S87" s="38">
        <f t="shared" si="118"/>
        <v>0</v>
      </c>
      <c r="T87" s="38">
        <f t="shared" si="118"/>
        <v>125112.1</v>
      </c>
      <c r="U87" s="38">
        <f t="shared" si="118"/>
        <v>122316.1</v>
      </c>
      <c r="V87" s="38">
        <f t="shared" si="118"/>
        <v>0</v>
      </c>
      <c r="W87" s="38">
        <f t="shared" si="118"/>
        <v>0</v>
      </c>
      <c r="X87" s="38">
        <f t="shared" si="118"/>
        <v>114345</v>
      </c>
      <c r="Y87" s="38">
        <f t="shared" si="118"/>
        <v>110819</v>
      </c>
      <c r="Z87" s="38">
        <f t="shared" si="118"/>
        <v>0</v>
      </c>
      <c r="AA87" s="38">
        <f t="shared" si="118"/>
        <v>5000</v>
      </c>
      <c r="AB87" s="38">
        <f t="shared" si="118"/>
        <v>0</v>
      </c>
      <c r="AC87" s="38">
        <f t="shared" si="118"/>
        <v>0</v>
      </c>
      <c r="AD87" s="38">
        <f t="shared" si="118"/>
        <v>21032</v>
      </c>
      <c r="AE87" s="38">
        <f t="shared" si="118"/>
        <v>21032</v>
      </c>
      <c r="AF87" s="38">
        <f t="shared" si="118"/>
        <v>0</v>
      </c>
      <c r="AG87" s="38">
        <f t="shared" si="118"/>
        <v>0</v>
      </c>
      <c r="AH87" s="38">
        <f t="shared" si="118"/>
        <v>18907</v>
      </c>
      <c r="AI87" s="38">
        <f t="shared" si="118"/>
        <v>18907</v>
      </c>
      <c r="AJ87" s="38">
        <f t="shared" si="118"/>
        <v>0</v>
      </c>
      <c r="AK87" s="38">
        <f t="shared" si="118"/>
        <v>8476</v>
      </c>
      <c r="AL87" s="38">
        <f t="shared" si="118"/>
        <v>3551</v>
      </c>
      <c r="AM87" s="38">
        <f t="shared" si="118"/>
        <v>137302</v>
      </c>
      <c r="AN87" s="38">
        <f t="shared" si="118"/>
        <v>120833</v>
      </c>
      <c r="AO87" s="38">
        <f t="shared" si="118"/>
        <v>0</v>
      </c>
      <c r="AP87" s="38">
        <f t="shared" si="118"/>
        <v>0</v>
      </c>
      <c r="AQ87" s="38">
        <f t="shared" si="118"/>
        <v>178</v>
      </c>
      <c r="AR87" s="38">
        <f t="shared" si="118"/>
        <v>8619.0999999999949</v>
      </c>
      <c r="AS87" s="38">
        <f t="shared" si="118"/>
        <v>126154.9</v>
      </c>
      <c r="AT87" s="316">
        <f t="shared" ref="AT87" si="119">AT88+AT89</f>
        <v>112481.9</v>
      </c>
      <c r="AU87" s="17"/>
      <c r="AV87" s="17"/>
      <c r="AW87" s="199">
        <v>120833</v>
      </c>
      <c r="AX87" s="200">
        <f>AW87-Y87</f>
        <v>10014</v>
      </c>
      <c r="AY87" s="157"/>
    </row>
    <row r="88" spans="1:54" s="14" customFormat="1" ht="36.950000000000003" customHeight="1" x14ac:dyDescent="0.25">
      <c r="A88" s="159" t="s">
        <v>100</v>
      </c>
      <c r="B88" s="201" t="s">
        <v>101</v>
      </c>
      <c r="C88" s="57"/>
      <c r="D88" s="58"/>
      <c r="E88" s="58"/>
      <c r="F88" s="57"/>
      <c r="G88" s="37"/>
      <c r="H88" s="37"/>
      <c r="I88" s="37"/>
      <c r="J88" s="37"/>
      <c r="K88" s="37"/>
      <c r="L88" s="38">
        <v>0</v>
      </c>
      <c r="M88" s="38">
        <v>0</v>
      </c>
      <c r="N88" s="38">
        <v>0</v>
      </c>
      <c r="O88" s="38"/>
      <c r="P88" s="38">
        <v>19500</v>
      </c>
      <c r="Q88" s="38">
        <v>19500</v>
      </c>
      <c r="R88" s="38"/>
      <c r="S88" s="38"/>
      <c r="T88" s="38">
        <f>19500+992</f>
        <v>20492</v>
      </c>
      <c r="U88" s="38">
        <f>19500+992</f>
        <v>20492</v>
      </c>
      <c r="V88" s="38"/>
      <c r="W88" s="38"/>
      <c r="X88" s="37">
        <f>Y88</f>
        <v>13923</v>
      </c>
      <c r="Y88" s="37">
        <f>15000-1077</f>
        <v>13923</v>
      </c>
      <c r="Z88" s="38"/>
      <c r="AA88" s="38"/>
      <c r="AB88" s="38"/>
      <c r="AC88" s="37"/>
      <c r="AD88" s="37">
        <f>AE88</f>
        <v>8706</v>
      </c>
      <c r="AE88" s="37">
        <v>8706</v>
      </c>
      <c r="AF88" s="37"/>
      <c r="AG88" s="37"/>
      <c r="AH88" s="37">
        <f>AI88</f>
        <v>5000</v>
      </c>
      <c r="AI88" s="37">
        <v>5000</v>
      </c>
      <c r="AJ88" s="38"/>
      <c r="AK88" s="37">
        <v>0</v>
      </c>
      <c r="AL88" s="38"/>
      <c r="AM88" s="37">
        <f>AN88</f>
        <v>13923</v>
      </c>
      <c r="AN88" s="38">
        <f>Y88+AK88</f>
        <v>13923</v>
      </c>
      <c r="AO88" s="38"/>
      <c r="AP88" s="38"/>
      <c r="AQ88" s="38"/>
      <c r="AR88" s="398">
        <v>5934.2</v>
      </c>
      <c r="AS88" s="398">
        <f>AT88</f>
        <v>7988.8</v>
      </c>
      <c r="AT88" s="398">
        <f>AN88-AR88</f>
        <v>7988.8</v>
      </c>
      <c r="AU88" s="38"/>
      <c r="AV88" s="38"/>
      <c r="AW88" s="10"/>
      <c r="AX88" s="19"/>
      <c r="AY88" s="14" t="s">
        <v>98</v>
      </c>
      <c r="AZ88" s="219"/>
      <c r="BA88" s="13"/>
    </row>
    <row r="89" spans="1:54" s="14" customFormat="1" ht="23.1" customHeight="1" x14ac:dyDescent="0.25">
      <c r="A89" s="220" t="s">
        <v>102</v>
      </c>
      <c r="B89" s="204" t="s">
        <v>185</v>
      </c>
      <c r="C89" s="57"/>
      <c r="D89" s="158"/>
      <c r="E89" s="59"/>
      <c r="F89" s="57"/>
      <c r="G89" s="38">
        <f t="shared" ref="G89:AT89" si="120">G90+G91</f>
        <v>348853.82</v>
      </c>
      <c r="H89" s="38">
        <f t="shared" si="120"/>
        <v>195091.82</v>
      </c>
      <c r="I89" s="38">
        <f t="shared" si="120"/>
        <v>0</v>
      </c>
      <c r="J89" s="38">
        <f t="shared" si="120"/>
        <v>0</v>
      </c>
      <c r="K89" s="38">
        <f t="shared" si="120"/>
        <v>0</v>
      </c>
      <c r="L89" s="38">
        <f t="shared" si="120"/>
        <v>229697.26699999999</v>
      </c>
      <c r="M89" s="38">
        <f t="shared" si="120"/>
        <v>82647.266999999993</v>
      </c>
      <c r="N89" s="38">
        <f t="shared" si="120"/>
        <v>80923.266999999993</v>
      </c>
      <c r="O89" s="38">
        <f t="shared" si="120"/>
        <v>80923.266999999993</v>
      </c>
      <c r="P89" s="38">
        <f t="shared" si="120"/>
        <v>124620.1</v>
      </c>
      <c r="Q89" s="38">
        <f t="shared" si="120"/>
        <v>121824.1</v>
      </c>
      <c r="R89" s="38">
        <f t="shared" si="120"/>
        <v>0</v>
      </c>
      <c r="S89" s="38">
        <f t="shared" si="120"/>
        <v>0</v>
      </c>
      <c r="T89" s="38">
        <f t="shared" si="120"/>
        <v>104620.1</v>
      </c>
      <c r="U89" s="38">
        <f t="shared" si="120"/>
        <v>101824.1</v>
      </c>
      <c r="V89" s="38">
        <f t="shared" si="120"/>
        <v>0</v>
      </c>
      <c r="W89" s="38">
        <f t="shared" si="120"/>
        <v>0</v>
      </c>
      <c r="X89" s="38">
        <f t="shared" si="120"/>
        <v>100422</v>
      </c>
      <c r="Y89" s="38">
        <f t="shared" si="120"/>
        <v>96896</v>
      </c>
      <c r="Z89" s="38">
        <f t="shared" si="120"/>
        <v>0</v>
      </c>
      <c r="AA89" s="38">
        <f t="shared" si="120"/>
        <v>5000</v>
      </c>
      <c r="AB89" s="38">
        <f t="shared" si="120"/>
        <v>0</v>
      </c>
      <c r="AC89" s="38">
        <f t="shared" si="120"/>
        <v>0</v>
      </c>
      <c r="AD89" s="38">
        <f t="shared" si="120"/>
        <v>12326</v>
      </c>
      <c r="AE89" s="38">
        <f t="shared" si="120"/>
        <v>12326</v>
      </c>
      <c r="AF89" s="38">
        <f t="shared" si="120"/>
        <v>0</v>
      </c>
      <c r="AG89" s="38">
        <f t="shared" si="120"/>
        <v>0</v>
      </c>
      <c r="AH89" s="38">
        <f t="shared" si="120"/>
        <v>13907</v>
      </c>
      <c r="AI89" s="38">
        <f t="shared" si="120"/>
        <v>13907</v>
      </c>
      <c r="AJ89" s="38">
        <f t="shared" si="120"/>
        <v>0</v>
      </c>
      <c r="AK89" s="38">
        <f t="shared" si="120"/>
        <v>8476</v>
      </c>
      <c r="AL89" s="38">
        <f t="shared" si="120"/>
        <v>3551</v>
      </c>
      <c r="AM89" s="38">
        <f t="shared" si="120"/>
        <v>123379</v>
      </c>
      <c r="AN89" s="38">
        <f t="shared" si="120"/>
        <v>106910</v>
      </c>
      <c r="AO89" s="38">
        <f t="shared" si="120"/>
        <v>0</v>
      </c>
      <c r="AP89" s="38">
        <f t="shared" si="120"/>
        <v>0</v>
      </c>
      <c r="AQ89" s="38">
        <f t="shared" si="120"/>
        <v>178</v>
      </c>
      <c r="AR89" s="38">
        <f t="shared" si="120"/>
        <v>2684.899999999996</v>
      </c>
      <c r="AS89" s="38">
        <f t="shared" si="120"/>
        <v>118166.09999999999</v>
      </c>
      <c r="AT89" s="38">
        <f t="shared" si="120"/>
        <v>104493.09999999999</v>
      </c>
      <c r="AU89" s="37"/>
      <c r="AV89" s="37"/>
      <c r="AW89" s="141"/>
      <c r="AX89" s="79"/>
      <c r="AZ89" s="13"/>
      <c r="BA89" s="13"/>
    </row>
    <row r="90" spans="1:54" s="14" customFormat="1" ht="23.1" customHeight="1" x14ac:dyDescent="0.25">
      <c r="A90" s="59"/>
      <c r="B90" s="166" t="s">
        <v>104</v>
      </c>
      <c r="C90" s="57"/>
      <c r="D90" s="158"/>
      <c r="E90" s="59"/>
      <c r="F90" s="57"/>
      <c r="G90" s="37">
        <v>0</v>
      </c>
      <c r="H90" s="37">
        <v>0</v>
      </c>
      <c r="I90" s="37">
        <v>0</v>
      </c>
      <c r="J90" s="37">
        <v>0</v>
      </c>
      <c r="K90" s="37">
        <v>0</v>
      </c>
      <c r="L90" s="37">
        <v>0</v>
      </c>
      <c r="M90" s="37">
        <v>0</v>
      </c>
      <c r="N90" s="37">
        <v>0</v>
      </c>
      <c r="O90" s="37">
        <v>0</v>
      </c>
      <c r="P90" s="37">
        <v>0</v>
      </c>
      <c r="Q90" s="37">
        <v>0</v>
      </c>
      <c r="R90" s="37">
        <v>0</v>
      </c>
      <c r="S90" s="37">
        <v>0</v>
      </c>
      <c r="T90" s="37">
        <v>0</v>
      </c>
      <c r="U90" s="37">
        <v>0</v>
      </c>
      <c r="V90" s="37">
        <v>0</v>
      </c>
      <c r="W90" s="37">
        <v>0</v>
      </c>
      <c r="X90" s="37">
        <v>0</v>
      </c>
      <c r="Y90" s="37">
        <v>0</v>
      </c>
      <c r="Z90" s="37">
        <v>0</v>
      </c>
      <c r="AA90" s="37">
        <v>0</v>
      </c>
      <c r="AB90" s="37">
        <v>0</v>
      </c>
      <c r="AC90" s="37">
        <v>0</v>
      </c>
      <c r="AD90" s="37">
        <v>0</v>
      </c>
      <c r="AE90" s="37">
        <v>0</v>
      </c>
      <c r="AF90" s="37">
        <v>0</v>
      </c>
      <c r="AG90" s="37">
        <v>0</v>
      </c>
      <c r="AH90" s="37">
        <v>0</v>
      </c>
      <c r="AI90" s="37">
        <v>0</v>
      </c>
      <c r="AJ90" s="37">
        <v>0</v>
      </c>
      <c r="AK90" s="37"/>
      <c r="AL90" s="37"/>
      <c r="AM90" s="37"/>
      <c r="AN90" s="37"/>
      <c r="AO90" s="37"/>
      <c r="AP90" s="37"/>
      <c r="AQ90" s="37"/>
      <c r="AR90" s="37"/>
      <c r="AS90" s="37"/>
      <c r="AT90" s="37"/>
      <c r="AU90" s="37"/>
      <c r="AV90" s="37"/>
      <c r="AW90" s="141"/>
      <c r="AX90" s="79"/>
      <c r="AZ90" s="13"/>
      <c r="BA90" s="13"/>
    </row>
    <row r="91" spans="1:54" s="14" customFormat="1" ht="23.1" customHeight="1" x14ac:dyDescent="0.25">
      <c r="A91" s="221"/>
      <c r="B91" s="222" t="s">
        <v>105</v>
      </c>
      <c r="C91" s="57"/>
      <c r="D91" s="58"/>
      <c r="E91" s="59"/>
      <c r="F91" s="57"/>
      <c r="G91" s="38">
        <f t="shared" ref="G91:AM91" si="121">G92+G100</f>
        <v>348853.82</v>
      </c>
      <c r="H91" s="38">
        <f t="shared" si="121"/>
        <v>195091.82</v>
      </c>
      <c r="I91" s="38">
        <f t="shared" si="121"/>
        <v>0</v>
      </c>
      <c r="J91" s="38">
        <f t="shared" si="121"/>
        <v>0</v>
      </c>
      <c r="K91" s="38">
        <f t="shared" si="121"/>
        <v>0</v>
      </c>
      <c r="L91" s="38">
        <f t="shared" si="121"/>
        <v>229697.26699999999</v>
      </c>
      <c r="M91" s="38">
        <f t="shared" si="121"/>
        <v>82647.266999999993</v>
      </c>
      <c r="N91" s="38">
        <f t="shared" si="121"/>
        <v>80923.266999999993</v>
      </c>
      <c r="O91" s="38">
        <f t="shared" si="121"/>
        <v>80923.266999999993</v>
      </c>
      <c r="P91" s="38">
        <f t="shared" si="121"/>
        <v>124620.1</v>
      </c>
      <c r="Q91" s="38">
        <f t="shared" si="121"/>
        <v>121824.1</v>
      </c>
      <c r="R91" s="38">
        <f t="shared" si="121"/>
        <v>0</v>
      </c>
      <c r="S91" s="38">
        <f t="shared" si="121"/>
        <v>0</v>
      </c>
      <c r="T91" s="38">
        <f t="shared" si="121"/>
        <v>104620.1</v>
      </c>
      <c r="U91" s="38">
        <f t="shared" si="121"/>
        <v>101824.1</v>
      </c>
      <c r="V91" s="38">
        <f t="shared" si="121"/>
        <v>0</v>
      </c>
      <c r="W91" s="38">
        <f t="shared" si="121"/>
        <v>0</v>
      </c>
      <c r="X91" s="38">
        <f t="shared" si="121"/>
        <v>100422</v>
      </c>
      <c r="Y91" s="38">
        <f t="shared" si="121"/>
        <v>96896</v>
      </c>
      <c r="Z91" s="38">
        <f t="shared" si="121"/>
        <v>0</v>
      </c>
      <c r="AA91" s="38">
        <f t="shared" si="121"/>
        <v>5000</v>
      </c>
      <c r="AB91" s="38">
        <f t="shared" si="121"/>
        <v>0</v>
      </c>
      <c r="AC91" s="38">
        <f t="shared" si="121"/>
        <v>0</v>
      </c>
      <c r="AD91" s="38">
        <f t="shared" si="121"/>
        <v>12326</v>
      </c>
      <c r="AE91" s="38">
        <f t="shared" si="121"/>
        <v>12326</v>
      </c>
      <c r="AF91" s="38">
        <f t="shared" si="121"/>
        <v>0</v>
      </c>
      <c r="AG91" s="38">
        <f t="shared" si="121"/>
        <v>0</v>
      </c>
      <c r="AH91" s="38">
        <f t="shared" si="121"/>
        <v>13907</v>
      </c>
      <c r="AI91" s="38">
        <f t="shared" si="121"/>
        <v>13907</v>
      </c>
      <c r="AJ91" s="38">
        <f t="shared" si="121"/>
        <v>0</v>
      </c>
      <c r="AK91" s="38">
        <f t="shared" si="121"/>
        <v>8476</v>
      </c>
      <c r="AL91" s="38">
        <f t="shared" si="121"/>
        <v>3551</v>
      </c>
      <c r="AM91" s="38">
        <f t="shared" si="121"/>
        <v>123379</v>
      </c>
      <c r="AN91" s="38">
        <f>AN92+AN100</f>
        <v>106910</v>
      </c>
      <c r="AO91" s="38">
        <f t="shared" ref="AO91:AT91" si="122">AO92+AO100</f>
        <v>0</v>
      </c>
      <c r="AP91" s="38">
        <f t="shared" si="122"/>
        <v>0</v>
      </c>
      <c r="AQ91" s="38">
        <f t="shared" si="122"/>
        <v>178</v>
      </c>
      <c r="AR91" s="38">
        <f t="shared" si="122"/>
        <v>2684.899999999996</v>
      </c>
      <c r="AS91" s="38">
        <f t="shared" si="122"/>
        <v>118166.09999999999</v>
      </c>
      <c r="AT91" s="38">
        <f t="shared" si="122"/>
        <v>104493.09999999999</v>
      </c>
      <c r="AU91" s="37"/>
      <c r="AV91" s="37"/>
      <c r="AW91" s="147">
        <f>A95+A99+A111</f>
        <v>14</v>
      </c>
      <c r="AX91" s="79"/>
      <c r="AZ91" s="13"/>
      <c r="BA91" s="13"/>
    </row>
    <row r="92" spans="1:54" s="14" customFormat="1" ht="47.25" x14ac:dyDescent="0.25">
      <c r="A92" s="163" t="s">
        <v>106</v>
      </c>
      <c r="B92" s="166" t="s">
        <v>107</v>
      </c>
      <c r="C92" s="57"/>
      <c r="D92" s="161"/>
      <c r="E92" s="161"/>
      <c r="F92" s="57"/>
      <c r="G92" s="38">
        <f t="shared" ref="G92:AT92" si="123">G93+G97</f>
        <v>254334.82</v>
      </c>
      <c r="H92" s="38">
        <f t="shared" si="123"/>
        <v>100996.82</v>
      </c>
      <c r="I92" s="38">
        <f t="shared" si="123"/>
        <v>0</v>
      </c>
      <c r="J92" s="38">
        <f t="shared" si="123"/>
        <v>0</v>
      </c>
      <c r="K92" s="38">
        <f t="shared" si="123"/>
        <v>0</v>
      </c>
      <c r="L92" s="38">
        <f t="shared" si="123"/>
        <v>229697.26699999999</v>
      </c>
      <c r="M92" s="38">
        <f t="shared" si="123"/>
        <v>82647.266999999993</v>
      </c>
      <c r="N92" s="38">
        <f t="shared" si="123"/>
        <v>80923.266999999993</v>
      </c>
      <c r="O92" s="38">
        <f t="shared" si="123"/>
        <v>80923.266999999993</v>
      </c>
      <c r="P92" s="38">
        <f t="shared" si="123"/>
        <v>20700.099999999999</v>
      </c>
      <c r="Q92" s="38">
        <f t="shared" si="123"/>
        <v>17904.099999999999</v>
      </c>
      <c r="R92" s="38">
        <f t="shared" si="123"/>
        <v>0</v>
      </c>
      <c r="S92" s="38">
        <f t="shared" si="123"/>
        <v>0</v>
      </c>
      <c r="T92" s="38">
        <f t="shared" si="123"/>
        <v>20700.099999999999</v>
      </c>
      <c r="U92" s="38">
        <f t="shared" si="123"/>
        <v>17904.099999999999</v>
      </c>
      <c r="V92" s="38">
        <f t="shared" si="123"/>
        <v>0</v>
      </c>
      <c r="W92" s="38">
        <f t="shared" si="123"/>
        <v>0</v>
      </c>
      <c r="X92" s="38">
        <f t="shared" si="123"/>
        <v>20700</v>
      </c>
      <c r="Y92" s="38">
        <f t="shared" si="123"/>
        <v>17904</v>
      </c>
      <c r="Z92" s="38">
        <f t="shared" si="123"/>
        <v>0</v>
      </c>
      <c r="AA92" s="38">
        <f t="shared" si="123"/>
        <v>5000</v>
      </c>
      <c r="AB92" s="38">
        <f t="shared" si="123"/>
        <v>0</v>
      </c>
      <c r="AC92" s="38">
        <f t="shared" si="123"/>
        <v>0</v>
      </c>
      <c r="AD92" s="38">
        <f t="shared" si="123"/>
        <v>12326</v>
      </c>
      <c r="AE92" s="38">
        <f t="shared" si="123"/>
        <v>12326</v>
      </c>
      <c r="AF92" s="38">
        <f t="shared" si="123"/>
        <v>0</v>
      </c>
      <c r="AG92" s="38">
        <f t="shared" si="123"/>
        <v>0</v>
      </c>
      <c r="AH92" s="38">
        <f t="shared" si="123"/>
        <v>4000</v>
      </c>
      <c r="AI92" s="38">
        <f t="shared" si="123"/>
        <v>4000</v>
      </c>
      <c r="AJ92" s="38">
        <f t="shared" si="123"/>
        <v>0</v>
      </c>
      <c r="AK92" s="38">
        <f t="shared" si="123"/>
        <v>0</v>
      </c>
      <c r="AL92" s="38">
        <f t="shared" si="123"/>
        <v>0</v>
      </c>
      <c r="AM92" s="38">
        <f t="shared" si="123"/>
        <v>20700</v>
      </c>
      <c r="AN92" s="38">
        <f t="shared" si="123"/>
        <v>17904</v>
      </c>
      <c r="AO92" s="38">
        <f t="shared" si="123"/>
        <v>0</v>
      </c>
      <c r="AP92" s="38">
        <f t="shared" si="123"/>
        <v>0</v>
      </c>
      <c r="AQ92" s="38">
        <f t="shared" si="123"/>
        <v>178</v>
      </c>
      <c r="AR92" s="38">
        <f t="shared" si="123"/>
        <v>134.29999999999927</v>
      </c>
      <c r="AS92" s="38">
        <f t="shared" si="123"/>
        <v>17947.7</v>
      </c>
      <c r="AT92" s="38">
        <f t="shared" si="123"/>
        <v>17947.7</v>
      </c>
      <c r="AU92" s="162"/>
      <c r="AV92" s="162"/>
      <c r="AW92" s="141"/>
      <c r="AX92" s="79"/>
      <c r="AZ92" s="13"/>
      <c r="BA92" s="13"/>
    </row>
    <row r="93" spans="1:54" s="144" customFormat="1" ht="31.5" x14ac:dyDescent="0.25">
      <c r="A93" s="167" t="s">
        <v>108</v>
      </c>
      <c r="B93" s="223" t="s">
        <v>109</v>
      </c>
      <c r="C93" s="142"/>
      <c r="D93" s="167"/>
      <c r="E93" s="224"/>
      <c r="F93" s="142"/>
      <c r="G93" s="101">
        <f t="shared" ref="G93:AS93" si="124">SUM(G94:G96)</f>
        <v>193668.82</v>
      </c>
      <c r="H93" s="101">
        <f t="shared" si="124"/>
        <v>40330.82</v>
      </c>
      <c r="I93" s="101">
        <f t="shared" si="124"/>
        <v>0</v>
      </c>
      <c r="J93" s="101">
        <f t="shared" si="124"/>
        <v>0</v>
      </c>
      <c r="K93" s="101">
        <f t="shared" si="124"/>
        <v>0</v>
      </c>
      <c r="L93" s="101">
        <f t="shared" si="124"/>
        <v>181846.95</v>
      </c>
      <c r="M93" s="101">
        <f t="shared" si="124"/>
        <v>34796.949999999997</v>
      </c>
      <c r="N93" s="101">
        <f t="shared" si="124"/>
        <v>34796.949999999997</v>
      </c>
      <c r="O93" s="101">
        <f t="shared" si="124"/>
        <v>34796.949999999997</v>
      </c>
      <c r="P93" s="101">
        <f t="shared" si="124"/>
        <v>7942.1</v>
      </c>
      <c r="Q93" s="101">
        <f t="shared" si="124"/>
        <v>5146.1000000000004</v>
      </c>
      <c r="R93" s="101">
        <f t="shared" si="124"/>
        <v>0</v>
      </c>
      <c r="S93" s="101">
        <f t="shared" si="124"/>
        <v>0</v>
      </c>
      <c r="T93" s="101">
        <f t="shared" si="124"/>
        <v>7942.1</v>
      </c>
      <c r="U93" s="101">
        <f t="shared" si="124"/>
        <v>5146.1000000000004</v>
      </c>
      <c r="V93" s="101">
        <f t="shared" si="124"/>
        <v>0</v>
      </c>
      <c r="W93" s="101">
        <f t="shared" si="124"/>
        <v>0</v>
      </c>
      <c r="X93" s="101">
        <f t="shared" si="124"/>
        <v>7942</v>
      </c>
      <c r="Y93" s="101">
        <f t="shared" si="124"/>
        <v>5146</v>
      </c>
      <c r="Z93" s="101">
        <f t="shared" si="124"/>
        <v>0</v>
      </c>
      <c r="AA93" s="101">
        <f t="shared" si="124"/>
        <v>5000</v>
      </c>
      <c r="AB93" s="101">
        <f t="shared" si="124"/>
        <v>0</v>
      </c>
      <c r="AC93" s="101">
        <f t="shared" si="124"/>
        <v>0</v>
      </c>
      <c r="AD93" s="101">
        <f t="shared" si="124"/>
        <v>5146</v>
      </c>
      <c r="AE93" s="101">
        <f t="shared" si="124"/>
        <v>5146</v>
      </c>
      <c r="AF93" s="101">
        <f t="shared" si="124"/>
        <v>0</v>
      </c>
      <c r="AG93" s="101">
        <f t="shared" si="124"/>
        <v>0</v>
      </c>
      <c r="AH93" s="101">
        <f t="shared" si="124"/>
        <v>0</v>
      </c>
      <c r="AI93" s="101">
        <f t="shared" si="124"/>
        <v>0</v>
      </c>
      <c r="AJ93" s="101">
        <f t="shared" si="124"/>
        <v>0</v>
      </c>
      <c r="AK93" s="101">
        <f t="shared" si="124"/>
        <v>0</v>
      </c>
      <c r="AL93" s="101">
        <f t="shared" si="124"/>
        <v>0</v>
      </c>
      <c r="AM93" s="101">
        <f t="shared" si="124"/>
        <v>7942</v>
      </c>
      <c r="AN93" s="101">
        <f t="shared" si="124"/>
        <v>5146</v>
      </c>
      <c r="AO93" s="101">
        <f t="shared" si="124"/>
        <v>0</v>
      </c>
      <c r="AP93" s="101">
        <f t="shared" si="124"/>
        <v>0</v>
      </c>
      <c r="AQ93" s="101">
        <f t="shared" si="124"/>
        <v>178</v>
      </c>
      <c r="AR93" s="101">
        <f t="shared" si="124"/>
        <v>0</v>
      </c>
      <c r="AS93" s="101">
        <f t="shared" si="124"/>
        <v>5324</v>
      </c>
      <c r="AT93" s="101">
        <f>SUM(AT94:AT96)</f>
        <v>5324</v>
      </c>
      <c r="AU93" s="171"/>
      <c r="AV93" s="171"/>
      <c r="AW93" s="143"/>
      <c r="AX93" s="174"/>
      <c r="AZ93" s="208"/>
      <c r="BA93" s="208"/>
    </row>
    <row r="94" spans="1:54" s="14" customFormat="1" ht="47.25" x14ac:dyDescent="0.25">
      <c r="A94" s="49">
        <v>1</v>
      </c>
      <c r="B94" s="176" t="s">
        <v>226</v>
      </c>
      <c r="C94" s="57"/>
      <c r="D94" s="51" t="s">
        <v>227</v>
      </c>
      <c r="E94" s="7" t="s">
        <v>228</v>
      </c>
      <c r="F94" s="6" t="s">
        <v>229</v>
      </c>
      <c r="G94" s="17">
        <v>14330.82</v>
      </c>
      <c r="H94" s="17">
        <v>14330.82</v>
      </c>
      <c r="I94" s="17"/>
      <c r="J94" s="17"/>
      <c r="K94" s="17"/>
      <c r="L94" s="17">
        <v>13796.95</v>
      </c>
      <c r="M94" s="17">
        <v>13796.95</v>
      </c>
      <c r="N94" s="17">
        <v>13796.95</v>
      </c>
      <c r="O94" s="17">
        <f>N94</f>
        <v>13796.95</v>
      </c>
      <c r="P94" s="17">
        <v>146.1</v>
      </c>
      <c r="Q94" s="17">
        <v>146.1</v>
      </c>
      <c r="R94" s="17"/>
      <c r="S94" s="17"/>
      <c r="T94" s="17">
        <v>146.1</v>
      </c>
      <c r="U94" s="17">
        <v>146.1</v>
      </c>
      <c r="V94" s="17"/>
      <c r="W94" s="17"/>
      <c r="X94" s="17">
        <f>Y94</f>
        <v>146</v>
      </c>
      <c r="Y94" s="17">
        <v>146</v>
      </c>
      <c r="Z94" s="17"/>
      <c r="AA94" s="17"/>
      <c r="AB94" s="17"/>
      <c r="AC94" s="17"/>
      <c r="AD94" s="17">
        <f>AE94</f>
        <v>146</v>
      </c>
      <c r="AE94" s="17">
        <v>146</v>
      </c>
      <c r="AF94" s="17"/>
      <c r="AG94" s="17"/>
      <c r="AH94" s="17"/>
      <c r="AI94" s="17"/>
      <c r="AJ94" s="17"/>
      <c r="AK94" s="17"/>
      <c r="AL94" s="17"/>
      <c r="AM94" s="17">
        <f>AN94</f>
        <v>146</v>
      </c>
      <c r="AN94" s="17">
        <v>146</v>
      </c>
      <c r="AO94" s="17"/>
      <c r="AP94" s="17"/>
      <c r="AQ94" s="17">
        <v>147</v>
      </c>
      <c r="AR94" s="17"/>
      <c r="AS94" s="17">
        <f>AT94</f>
        <v>293</v>
      </c>
      <c r="AT94" s="17">
        <f>AN94+AQ94</f>
        <v>293</v>
      </c>
      <c r="AU94" s="17"/>
      <c r="AV94" s="17"/>
      <c r="AW94" s="141"/>
      <c r="AX94" s="79"/>
      <c r="AZ94" s="13"/>
      <c r="BA94" s="13"/>
    </row>
    <row r="95" spans="1:54" s="14" customFormat="1" ht="47.25" x14ac:dyDescent="0.25">
      <c r="A95" s="49">
        <v>2</v>
      </c>
      <c r="B95" s="176" t="s">
        <v>230</v>
      </c>
      <c r="C95" s="57"/>
      <c r="D95" s="51" t="s">
        <v>231</v>
      </c>
      <c r="E95" s="7" t="s">
        <v>39</v>
      </c>
      <c r="F95" s="52" t="s">
        <v>232</v>
      </c>
      <c r="G95" s="17">
        <v>179338</v>
      </c>
      <c r="H95" s="26">
        <f>21000+5000</f>
        <v>26000</v>
      </c>
      <c r="I95" s="65"/>
      <c r="J95" s="65"/>
      <c r="K95" s="65"/>
      <c r="L95" s="17">
        <v>168050</v>
      </c>
      <c r="M95" s="17">
        <v>21000</v>
      </c>
      <c r="N95" s="17">
        <v>21000</v>
      </c>
      <c r="O95" s="17">
        <f>N95</f>
        <v>21000</v>
      </c>
      <c r="P95" s="17">
        <v>7796</v>
      </c>
      <c r="Q95" s="17">
        <v>5000</v>
      </c>
      <c r="R95" s="17"/>
      <c r="S95" s="17"/>
      <c r="T95" s="17">
        <v>7796</v>
      </c>
      <c r="U95" s="17">
        <v>5000</v>
      </c>
      <c r="V95" s="17"/>
      <c r="W95" s="17"/>
      <c r="X95" s="17">
        <v>7796</v>
      </c>
      <c r="Y95" s="17">
        <v>5000</v>
      </c>
      <c r="Z95" s="17"/>
      <c r="AA95" s="17">
        <v>5000</v>
      </c>
      <c r="AB95" s="17"/>
      <c r="AC95" s="17"/>
      <c r="AD95" s="17">
        <f>AE95</f>
        <v>5000</v>
      </c>
      <c r="AE95" s="17">
        <v>5000</v>
      </c>
      <c r="AF95" s="17"/>
      <c r="AG95" s="17"/>
      <c r="AH95" s="17"/>
      <c r="AI95" s="17"/>
      <c r="AJ95" s="17"/>
      <c r="AK95" s="17"/>
      <c r="AL95" s="17"/>
      <c r="AM95" s="17">
        <v>7796</v>
      </c>
      <c r="AN95" s="17">
        <v>5000</v>
      </c>
      <c r="AO95" s="17"/>
      <c r="AP95" s="17"/>
      <c r="AQ95" s="17"/>
      <c r="AR95" s="17"/>
      <c r="AS95" s="17">
        <f t="shared" ref="AS95:AS99" si="125">AT95</f>
        <v>5000</v>
      </c>
      <c r="AT95" s="17">
        <v>5000</v>
      </c>
      <c r="AU95" s="17"/>
      <c r="AV95" s="17"/>
      <c r="AW95" s="141"/>
      <c r="AX95" s="79"/>
      <c r="AZ95" s="13"/>
      <c r="BA95" s="13"/>
    </row>
    <row r="96" spans="1:54" s="14" customFormat="1" ht="36" customHeight="1" x14ac:dyDescent="0.25">
      <c r="A96" s="49">
        <v>3</v>
      </c>
      <c r="B96" s="100" t="s">
        <v>572</v>
      </c>
      <c r="C96" s="57"/>
      <c r="D96" s="51"/>
      <c r="E96" s="7"/>
      <c r="F96" s="52"/>
      <c r="G96" s="17"/>
      <c r="H96" s="17"/>
      <c r="I96" s="65"/>
      <c r="J96" s="65"/>
      <c r="K96" s="65"/>
      <c r="L96" s="17"/>
      <c r="M96" s="17"/>
      <c r="N96" s="17"/>
      <c r="O96" s="17"/>
      <c r="P96" s="17"/>
      <c r="Q96" s="17"/>
      <c r="R96" s="17"/>
      <c r="S96" s="17"/>
      <c r="T96" s="17"/>
      <c r="U96" s="17"/>
      <c r="V96" s="17"/>
      <c r="W96" s="17"/>
      <c r="X96" s="17"/>
      <c r="Y96" s="17"/>
      <c r="Z96" s="17"/>
      <c r="AA96" s="17"/>
      <c r="AB96" s="17"/>
      <c r="AC96" s="17"/>
      <c r="AD96" s="17"/>
      <c r="AE96" s="17"/>
      <c r="AF96" s="17"/>
      <c r="AG96" s="17"/>
      <c r="AH96" s="17"/>
      <c r="AI96" s="17"/>
      <c r="AJ96" s="17"/>
      <c r="AK96" s="17"/>
      <c r="AL96" s="17"/>
      <c r="AM96" s="17">
        <f>AN96</f>
        <v>0</v>
      </c>
      <c r="AN96" s="17">
        <v>0</v>
      </c>
      <c r="AO96" s="17"/>
      <c r="AP96" s="17"/>
      <c r="AQ96" s="17">
        <v>31</v>
      </c>
      <c r="AR96" s="17"/>
      <c r="AS96" s="17">
        <f t="shared" si="125"/>
        <v>31</v>
      </c>
      <c r="AT96" s="17">
        <f>AN96+AQ96</f>
        <v>31</v>
      </c>
      <c r="AU96" s="17"/>
      <c r="AV96" s="17"/>
      <c r="AW96" s="225"/>
      <c r="AX96" s="79"/>
      <c r="AZ96" s="13"/>
      <c r="BA96" s="13"/>
    </row>
    <row r="97" spans="1:53" s="144" customFormat="1" ht="31.5" x14ac:dyDescent="0.25">
      <c r="A97" s="167" t="s">
        <v>108</v>
      </c>
      <c r="B97" s="226" t="s">
        <v>187</v>
      </c>
      <c r="C97" s="142"/>
      <c r="D97" s="227"/>
      <c r="E97" s="224"/>
      <c r="F97" s="142"/>
      <c r="G97" s="101">
        <f t="shared" ref="G97:AT97" si="126">SUM(G98:G99)</f>
        <v>60666</v>
      </c>
      <c r="H97" s="101">
        <f t="shared" si="126"/>
        <v>60666</v>
      </c>
      <c r="I97" s="101">
        <f t="shared" si="126"/>
        <v>0</v>
      </c>
      <c r="J97" s="101">
        <f t="shared" si="126"/>
        <v>0</v>
      </c>
      <c r="K97" s="101">
        <f t="shared" si="126"/>
        <v>0</v>
      </c>
      <c r="L97" s="101">
        <f t="shared" si="126"/>
        <v>47850.316999999995</v>
      </c>
      <c r="M97" s="101">
        <f t="shared" si="126"/>
        <v>47850.316999999995</v>
      </c>
      <c r="N97" s="101">
        <f t="shared" si="126"/>
        <v>46126.316999999995</v>
      </c>
      <c r="O97" s="101">
        <f t="shared" si="126"/>
        <v>46126.316999999995</v>
      </c>
      <c r="P97" s="101">
        <f t="shared" si="126"/>
        <v>12758</v>
      </c>
      <c r="Q97" s="101">
        <f t="shared" si="126"/>
        <v>12758</v>
      </c>
      <c r="R97" s="101">
        <f t="shared" si="126"/>
        <v>0</v>
      </c>
      <c r="S97" s="101">
        <f t="shared" si="126"/>
        <v>0</v>
      </c>
      <c r="T97" s="101">
        <f t="shared" si="126"/>
        <v>12758</v>
      </c>
      <c r="U97" s="101">
        <f t="shared" si="126"/>
        <v>12758</v>
      </c>
      <c r="V97" s="101">
        <f t="shared" si="126"/>
        <v>0</v>
      </c>
      <c r="W97" s="101">
        <f t="shared" si="126"/>
        <v>0</v>
      </c>
      <c r="X97" s="101">
        <f t="shared" si="126"/>
        <v>12758</v>
      </c>
      <c r="Y97" s="101">
        <f t="shared" si="126"/>
        <v>12758</v>
      </c>
      <c r="Z97" s="101">
        <f t="shared" si="126"/>
        <v>0</v>
      </c>
      <c r="AA97" s="101">
        <f t="shared" si="126"/>
        <v>0</v>
      </c>
      <c r="AB97" s="101">
        <f t="shared" si="126"/>
        <v>0</v>
      </c>
      <c r="AC97" s="101">
        <f t="shared" si="126"/>
        <v>0</v>
      </c>
      <c r="AD97" s="101">
        <f t="shared" si="126"/>
        <v>7180</v>
      </c>
      <c r="AE97" s="101">
        <f t="shared" si="126"/>
        <v>7180</v>
      </c>
      <c r="AF97" s="101">
        <f t="shared" si="126"/>
        <v>0</v>
      </c>
      <c r="AG97" s="101">
        <f t="shared" si="126"/>
        <v>0</v>
      </c>
      <c r="AH97" s="101">
        <f t="shared" si="126"/>
        <v>4000</v>
      </c>
      <c r="AI97" s="101">
        <f t="shared" si="126"/>
        <v>4000</v>
      </c>
      <c r="AJ97" s="101">
        <f t="shared" si="126"/>
        <v>0</v>
      </c>
      <c r="AK97" s="101">
        <f t="shared" si="126"/>
        <v>0</v>
      </c>
      <c r="AL97" s="101">
        <f t="shared" si="126"/>
        <v>0</v>
      </c>
      <c r="AM97" s="101">
        <f t="shared" si="126"/>
        <v>12758</v>
      </c>
      <c r="AN97" s="101">
        <f t="shared" si="126"/>
        <v>12758</v>
      </c>
      <c r="AO97" s="101">
        <f t="shared" si="126"/>
        <v>0</v>
      </c>
      <c r="AP97" s="101">
        <f t="shared" si="126"/>
        <v>0</v>
      </c>
      <c r="AQ97" s="101">
        <f t="shared" si="126"/>
        <v>0</v>
      </c>
      <c r="AR97" s="101">
        <f t="shared" si="126"/>
        <v>134.29999999999927</v>
      </c>
      <c r="AS97" s="101">
        <f t="shared" si="126"/>
        <v>12623.7</v>
      </c>
      <c r="AT97" s="101">
        <f t="shared" si="126"/>
        <v>12623.7</v>
      </c>
      <c r="AU97" s="171"/>
      <c r="AV97" s="171"/>
      <c r="AW97" s="143"/>
      <c r="AX97" s="174"/>
      <c r="AZ97" s="208"/>
      <c r="BA97" s="208"/>
    </row>
    <row r="98" spans="1:53" s="14" customFormat="1" ht="47.25" x14ac:dyDescent="0.25">
      <c r="A98" s="49">
        <v>1</v>
      </c>
      <c r="B98" s="176" t="s">
        <v>233</v>
      </c>
      <c r="C98" s="57"/>
      <c r="D98" s="228" t="s">
        <v>234</v>
      </c>
      <c r="E98" s="7" t="s">
        <v>235</v>
      </c>
      <c r="F98" s="52" t="s">
        <v>236</v>
      </c>
      <c r="G98" s="17">
        <v>42100</v>
      </c>
      <c r="H98" s="17">
        <v>42100</v>
      </c>
      <c r="I98" s="17"/>
      <c r="J98" s="17"/>
      <c r="K98" s="17"/>
      <c r="L98" s="17">
        <v>32657.743999999999</v>
      </c>
      <c r="M98" s="17">
        <v>32657.743999999999</v>
      </c>
      <c r="N98" s="17">
        <v>32657.743999999999</v>
      </c>
      <c r="O98" s="17">
        <f>N98</f>
        <v>32657.743999999999</v>
      </c>
      <c r="P98" s="17">
        <v>9440</v>
      </c>
      <c r="Q98" s="17">
        <v>9440</v>
      </c>
      <c r="R98" s="17"/>
      <c r="S98" s="17"/>
      <c r="T98" s="17">
        <v>9440</v>
      </c>
      <c r="U98" s="17">
        <v>9440</v>
      </c>
      <c r="V98" s="17"/>
      <c r="W98" s="17"/>
      <c r="X98" s="17">
        <f>Y98</f>
        <v>9440</v>
      </c>
      <c r="Y98" s="17">
        <v>9440</v>
      </c>
      <c r="Z98" s="17"/>
      <c r="AA98" s="17"/>
      <c r="AB98" s="17"/>
      <c r="AC98" s="17"/>
      <c r="AD98" s="17">
        <f>AE98</f>
        <v>3862</v>
      </c>
      <c r="AE98" s="17">
        <v>3862</v>
      </c>
      <c r="AF98" s="17"/>
      <c r="AG98" s="17"/>
      <c r="AH98" s="17">
        <v>4000</v>
      </c>
      <c r="AI98" s="17">
        <v>4000</v>
      </c>
      <c r="AJ98" s="17"/>
      <c r="AK98" s="17"/>
      <c r="AL98" s="17"/>
      <c r="AM98" s="17">
        <f>AN98</f>
        <v>9440</v>
      </c>
      <c r="AN98" s="17">
        <v>9440</v>
      </c>
      <c r="AO98" s="17"/>
      <c r="AP98" s="17"/>
      <c r="AQ98" s="17"/>
      <c r="AR98" s="391">
        <v>134.29999999999927</v>
      </c>
      <c r="AS98" s="391">
        <f t="shared" si="125"/>
        <v>9305.7000000000007</v>
      </c>
      <c r="AT98" s="391">
        <f>AN98-AR98</f>
        <v>9305.7000000000007</v>
      </c>
      <c r="AU98" s="17"/>
      <c r="AV98" s="17"/>
      <c r="AW98" s="10"/>
      <c r="AX98" s="19"/>
      <c r="AZ98" s="13"/>
      <c r="BA98" s="13"/>
    </row>
    <row r="99" spans="1:53" s="14" customFormat="1" ht="47.25" x14ac:dyDescent="0.25">
      <c r="A99" s="49">
        <v>2</v>
      </c>
      <c r="B99" s="176" t="s">
        <v>237</v>
      </c>
      <c r="C99" s="57"/>
      <c r="D99" s="228" t="s">
        <v>238</v>
      </c>
      <c r="E99" s="7" t="s">
        <v>239</v>
      </c>
      <c r="F99" s="52" t="s">
        <v>240</v>
      </c>
      <c r="G99" s="17">
        <v>18566</v>
      </c>
      <c r="H99" s="17">
        <v>18566</v>
      </c>
      <c r="I99" s="17"/>
      <c r="J99" s="17"/>
      <c r="K99" s="17"/>
      <c r="L99" s="17">
        <v>15192.573</v>
      </c>
      <c r="M99" s="17">
        <v>15192.573</v>
      </c>
      <c r="N99" s="17">
        <v>13468.573</v>
      </c>
      <c r="O99" s="17">
        <f>N99</f>
        <v>13468.573</v>
      </c>
      <c r="P99" s="17">
        <v>3318</v>
      </c>
      <c r="Q99" s="17">
        <v>3318</v>
      </c>
      <c r="R99" s="17"/>
      <c r="S99" s="17"/>
      <c r="T99" s="17">
        <v>3318</v>
      </c>
      <c r="U99" s="17">
        <v>3318</v>
      </c>
      <c r="V99" s="17"/>
      <c r="W99" s="17"/>
      <c r="X99" s="17">
        <f>Y99</f>
        <v>3318</v>
      </c>
      <c r="Y99" s="17">
        <v>3318</v>
      </c>
      <c r="Z99" s="17"/>
      <c r="AA99" s="17"/>
      <c r="AB99" s="17"/>
      <c r="AC99" s="17"/>
      <c r="AD99" s="17">
        <f>AE99</f>
        <v>3318</v>
      </c>
      <c r="AE99" s="17">
        <v>3318</v>
      </c>
      <c r="AF99" s="17"/>
      <c r="AG99" s="17"/>
      <c r="AH99" s="17"/>
      <c r="AI99" s="17"/>
      <c r="AJ99" s="17"/>
      <c r="AK99" s="17"/>
      <c r="AL99" s="17"/>
      <c r="AM99" s="17">
        <f>AN99</f>
        <v>3318</v>
      </c>
      <c r="AN99" s="17">
        <v>3318</v>
      </c>
      <c r="AO99" s="17"/>
      <c r="AP99" s="17"/>
      <c r="AQ99" s="17"/>
      <c r="AR99" s="17"/>
      <c r="AS99" s="17">
        <f t="shared" si="125"/>
        <v>3318</v>
      </c>
      <c r="AT99" s="17">
        <v>3318</v>
      </c>
      <c r="AU99" s="17"/>
      <c r="AV99" s="17"/>
      <c r="AW99" s="141"/>
      <c r="AX99" s="79"/>
      <c r="AZ99" s="13"/>
      <c r="BA99" s="13"/>
    </row>
    <row r="100" spans="1:53" s="14" customFormat="1" ht="33.6" customHeight="1" x14ac:dyDescent="0.25">
      <c r="A100" s="3" t="s">
        <v>131</v>
      </c>
      <c r="B100" s="181" t="s">
        <v>132</v>
      </c>
      <c r="C100" s="57"/>
      <c r="D100" s="58"/>
      <c r="E100" s="59"/>
      <c r="F100" s="57"/>
      <c r="G100" s="38">
        <f t="shared" ref="G100:AM100" si="127">G101+G112</f>
        <v>94519</v>
      </c>
      <c r="H100" s="38">
        <f t="shared" si="127"/>
        <v>94095</v>
      </c>
      <c r="I100" s="37">
        <f t="shared" si="127"/>
        <v>0</v>
      </c>
      <c r="J100" s="37">
        <f t="shared" si="127"/>
        <v>0</v>
      </c>
      <c r="K100" s="37">
        <f t="shared" si="127"/>
        <v>0</v>
      </c>
      <c r="L100" s="37">
        <f t="shared" si="127"/>
        <v>0</v>
      </c>
      <c r="M100" s="37">
        <f t="shared" si="127"/>
        <v>0</v>
      </c>
      <c r="N100" s="37">
        <f t="shared" si="127"/>
        <v>0</v>
      </c>
      <c r="O100" s="37">
        <f t="shared" si="127"/>
        <v>0</v>
      </c>
      <c r="P100" s="37">
        <f t="shared" si="127"/>
        <v>103920</v>
      </c>
      <c r="Q100" s="37">
        <f t="shared" si="127"/>
        <v>103920</v>
      </c>
      <c r="R100" s="37">
        <f t="shared" si="127"/>
        <v>0</v>
      </c>
      <c r="S100" s="37">
        <f t="shared" si="127"/>
        <v>0</v>
      </c>
      <c r="T100" s="37">
        <f t="shared" si="127"/>
        <v>83920</v>
      </c>
      <c r="U100" s="37">
        <f t="shared" si="127"/>
        <v>83920</v>
      </c>
      <c r="V100" s="37">
        <f t="shared" si="127"/>
        <v>0</v>
      </c>
      <c r="W100" s="37">
        <f t="shared" si="127"/>
        <v>0</v>
      </c>
      <c r="X100" s="37">
        <f t="shared" si="127"/>
        <v>79722</v>
      </c>
      <c r="Y100" s="37">
        <f t="shared" si="127"/>
        <v>78992</v>
      </c>
      <c r="Z100" s="37">
        <f t="shared" si="127"/>
        <v>0</v>
      </c>
      <c r="AA100" s="37">
        <f t="shared" si="127"/>
        <v>0</v>
      </c>
      <c r="AB100" s="37">
        <f t="shared" si="127"/>
        <v>0</v>
      </c>
      <c r="AC100" s="37">
        <f t="shared" si="127"/>
        <v>0</v>
      </c>
      <c r="AD100" s="37">
        <f t="shared" si="127"/>
        <v>0</v>
      </c>
      <c r="AE100" s="37">
        <f t="shared" si="127"/>
        <v>0</v>
      </c>
      <c r="AF100" s="37">
        <f t="shared" si="127"/>
        <v>0</v>
      </c>
      <c r="AG100" s="37">
        <f t="shared" si="127"/>
        <v>0</v>
      </c>
      <c r="AH100" s="37">
        <f t="shared" si="127"/>
        <v>9907</v>
      </c>
      <c r="AI100" s="37">
        <f t="shared" si="127"/>
        <v>9907</v>
      </c>
      <c r="AJ100" s="37">
        <f t="shared" si="127"/>
        <v>0</v>
      </c>
      <c r="AK100" s="37">
        <f t="shared" si="127"/>
        <v>8476</v>
      </c>
      <c r="AL100" s="37">
        <f t="shared" si="127"/>
        <v>3551</v>
      </c>
      <c r="AM100" s="38">
        <f t="shared" si="127"/>
        <v>102679</v>
      </c>
      <c r="AN100" s="38">
        <f>AN101+AN112</f>
        <v>89006</v>
      </c>
      <c r="AO100" s="38">
        <f t="shared" ref="AO100:AT100" si="128">AO101+AO112</f>
        <v>0</v>
      </c>
      <c r="AP100" s="38">
        <f t="shared" si="128"/>
        <v>0</v>
      </c>
      <c r="AQ100" s="38">
        <f t="shared" si="128"/>
        <v>0</v>
      </c>
      <c r="AR100" s="38">
        <f t="shared" si="128"/>
        <v>2550.5999999999967</v>
      </c>
      <c r="AS100" s="38">
        <f t="shared" si="128"/>
        <v>100218.4</v>
      </c>
      <c r="AT100" s="38">
        <f t="shared" si="128"/>
        <v>86545.4</v>
      </c>
      <c r="AU100" s="37"/>
      <c r="AV100" s="37"/>
      <c r="AW100" s="229">
        <f>AT100-71819.8</f>
        <v>14725.599999999991</v>
      </c>
      <c r="AX100" s="230" t="s">
        <v>571</v>
      </c>
      <c r="AZ100" s="13"/>
      <c r="BA100" s="13"/>
    </row>
    <row r="101" spans="1:53" s="14" customFormat="1" ht="47.25" x14ac:dyDescent="0.25">
      <c r="A101" s="167" t="s">
        <v>108</v>
      </c>
      <c r="B101" s="4" t="s">
        <v>133</v>
      </c>
      <c r="C101" s="57"/>
      <c r="D101" s="58"/>
      <c r="E101" s="59"/>
      <c r="F101" s="57"/>
      <c r="G101" s="38">
        <f t="shared" ref="G101:AS101" si="129">SUM(G102:G111)</f>
        <v>81059</v>
      </c>
      <c r="H101" s="38">
        <f>SUM(H102:H111)</f>
        <v>80742</v>
      </c>
      <c r="I101" s="37">
        <f t="shared" si="129"/>
        <v>0</v>
      </c>
      <c r="J101" s="37">
        <f t="shared" si="129"/>
        <v>0</v>
      </c>
      <c r="K101" s="37">
        <f t="shared" si="129"/>
        <v>0</v>
      </c>
      <c r="L101" s="37">
        <f t="shared" si="129"/>
        <v>0</v>
      </c>
      <c r="M101" s="37">
        <f t="shared" si="129"/>
        <v>0</v>
      </c>
      <c r="N101" s="37">
        <f t="shared" si="129"/>
        <v>0</v>
      </c>
      <c r="O101" s="37">
        <f t="shared" si="129"/>
        <v>0</v>
      </c>
      <c r="P101" s="37">
        <f t="shared" si="129"/>
        <v>103920</v>
      </c>
      <c r="Q101" s="37">
        <f t="shared" si="129"/>
        <v>103920</v>
      </c>
      <c r="R101" s="37">
        <f t="shared" si="129"/>
        <v>0</v>
      </c>
      <c r="S101" s="37">
        <f t="shared" si="129"/>
        <v>0</v>
      </c>
      <c r="T101" s="37">
        <f t="shared" si="129"/>
        <v>83920</v>
      </c>
      <c r="U101" s="37">
        <f t="shared" si="129"/>
        <v>83920</v>
      </c>
      <c r="V101" s="37">
        <f t="shared" si="129"/>
        <v>0</v>
      </c>
      <c r="W101" s="37">
        <f t="shared" si="129"/>
        <v>0</v>
      </c>
      <c r="X101" s="37">
        <f t="shared" si="129"/>
        <v>79722</v>
      </c>
      <c r="Y101" s="37">
        <f t="shared" si="129"/>
        <v>78992</v>
      </c>
      <c r="Z101" s="37">
        <f t="shared" si="129"/>
        <v>0</v>
      </c>
      <c r="AA101" s="37">
        <f t="shared" si="129"/>
        <v>0</v>
      </c>
      <c r="AB101" s="37">
        <f t="shared" si="129"/>
        <v>0</v>
      </c>
      <c r="AC101" s="37">
        <f t="shared" si="129"/>
        <v>0</v>
      </c>
      <c r="AD101" s="37">
        <f t="shared" si="129"/>
        <v>0</v>
      </c>
      <c r="AE101" s="37">
        <f t="shared" si="129"/>
        <v>0</v>
      </c>
      <c r="AF101" s="37">
        <f t="shared" si="129"/>
        <v>0</v>
      </c>
      <c r="AG101" s="37">
        <f t="shared" si="129"/>
        <v>0</v>
      </c>
      <c r="AH101" s="37">
        <f t="shared" si="129"/>
        <v>9907</v>
      </c>
      <c r="AI101" s="37">
        <f t="shared" si="129"/>
        <v>9907</v>
      </c>
      <c r="AJ101" s="37">
        <f t="shared" si="129"/>
        <v>0</v>
      </c>
      <c r="AK101" s="37">
        <f t="shared" si="129"/>
        <v>212</v>
      </c>
      <c r="AL101" s="37">
        <f>SUM(AL102:AL111)</f>
        <v>3551</v>
      </c>
      <c r="AM101" s="38">
        <f t="shared" si="129"/>
        <v>75970</v>
      </c>
      <c r="AN101" s="38">
        <f t="shared" si="129"/>
        <v>75653</v>
      </c>
      <c r="AO101" s="38">
        <f t="shared" si="129"/>
        <v>0</v>
      </c>
      <c r="AP101" s="38">
        <f t="shared" si="129"/>
        <v>0</v>
      </c>
      <c r="AQ101" s="38">
        <f t="shared" si="129"/>
        <v>0</v>
      </c>
      <c r="AR101" s="38">
        <f t="shared" si="129"/>
        <v>2550.5999999999967</v>
      </c>
      <c r="AS101" s="38">
        <f t="shared" si="129"/>
        <v>73509.399999999994</v>
      </c>
      <c r="AT101" s="38">
        <f>SUM(AT102:AT111)</f>
        <v>73192.399999999994</v>
      </c>
      <c r="AU101" s="37"/>
      <c r="AV101" s="37"/>
      <c r="AW101" s="141"/>
      <c r="AX101" s="79"/>
      <c r="AZ101" s="13"/>
      <c r="BA101" s="13"/>
    </row>
    <row r="102" spans="1:53" s="14" customFormat="1" ht="47.25" x14ac:dyDescent="0.25">
      <c r="A102" s="49">
        <v>1</v>
      </c>
      <c r="B102" s="231" t="s">
        <v>241</v>
      </c>
      <c r="C102" s="10" t="s">
        <v>242</v>
      </c>
      <c r="D102" s="51" t="s">
        <v>243</v>
      </c>
      <c r="E102" s="7" t="s">
        <v>57</v>
      </c>
      <c r="F102" s="10" t="s">
        <v>244</v>
      </c>
      <c r="G102" s="17">
        <v>700</v>
      </c>
      <c r="H102" s="17">
        <v>693</v>
      </c>
      <c r="I102" s="37"/>
      <c r="J102" s="37"/>
      <c r="K102" s="37"/>
      <c r="L102" s="17">
        <v>0</v>
      </c>
      <c r="M102" s="17">
        <v>0</v>
      </c>
      <c r="N102" s="17">
        <v>0</v>
      </c>
      <c r="O102" s="17"/>
      <c r="P102" s="17">
        <v>700</v>
      </c>
      <c r="Q102" s="17">
        <v>700</v>
      </c>
      <c r="R102" s="17"/>
      <c r="S102" s="17"/>
      <c r="T102" s="17">
        <v>700</v>
      </c>
      <c r="U102" s="17">
        <v>700</v>
      </c>
      <c r="V102" s="17"/>
      <c r="W102" s="17"/>
      <c r="X102" s="44">
        <v>700</v>
      </c>
      <c r="Y102" s="44">
        <v>693</v>
      </c>
      <c r="Z102" s="17"/>
      <c r="AA102" s="17"/>
      <c r="AB102" s="17"/>
      <c r="AC102" s="37"/>
      <c r="AD102" s="17"/>
      <c r="AE102" s="17"/>
      <c r="AF102" s="17"/>
      <c r="AG102" s="17"/>
      <c r="AH102" s="44">
        <f>AI102</f>
        <v>630</v>
      </c>
      <c r="AI102" s="44">
        <v>630</v>
      </c>
      <c r="AJ102" s="17"/>
      <c r="AK102" s="37"/>
      <c r="AL102" s="232">
        <f>Y102-AN102</f>
        <v>0</v>
      </c>
      <c r="AM102" s="17">
        <v>700</v>
      </c>
      <c r="AN102" s="17">
        <v>693</v>
      </c>
      <c r="AO102" s="17"/>
      <c r="AP102" s="17"/>
      <c r="AQ102" s="17"/>
      <c r="AR102" s="17">
        <v>136</v>
      </c>
      <c r="AS102" s="399">
        <f>AT102+7</f>
        <v>564</v>
      </c>
      <c r="AT102" s="17">
        <f>AN102-AR102</f>
        <v>557</v>
      </c>
      <c r="AU102" s="37"/>
      <c r="AV102" s="37"/>
      <c r="AW102" s="10"/>
      <c r="AX102" s="11"/>
      <c r="AZ102" s="13"/>
      <c r="BA102" s="13"/>
    </row>
    <row r="103" spans="1:53" s="14" customFormat="1" ht="47.25" x14ac:dyDescent="0.25">
      <c r="A103" s="49">
        <v>2</v>
      </c>
      <c r="B103" s="231" t="s">
        <v>245</v>
      </c>
      <c r="C103" s="10" t="s">
        <v>246</v>
      </c>
      <c r="D103" s="51" t="s">
        <v>247</v>
      </c>
      <c r="E103" s="7" t="s">
        <v>57</v>
      </c>
      <c r="F103" s="10" t="s">
        <v>248</v>
      </c>
      <c r="G103" s="17">
        <v>3100</v>
      </c>
      <c r="H103" s="17">
        <v>3059</v>
      </c>
      <c r="I103" s="37"/>
      <c r="J103" s="37"/>
      <c r="K103" s="37"/>
      <c r="L103" s="17">
        <v>0</v>
      </c>
      <c r="M103" s="17">
        <v>0</v>
      </c>
      <c r="N103" s="17">
        <v>0</v>
      </c>
      <c r="O103" s="17"/>
      <c r="P103" s="17">
        <v>4060</v>
      </c>
      <c r="Q103" s="17">
        <v>4060</v>
      </c>
      <c r="R103" s="17"/>
      <c r="S103" s="17"/>
      <c r="T103" s="17">
        <v>4060</v>
      </c>
      <c r="U103" s="17">
        <v>4060</v>
      </c>
      <c r="V103" s="17"/>
      <c r="W103" s="17"/>
      <c r="X103" s="44">
        <v>4060</v>
      </c>
      <c r="Y103" s="44">
        <v>4000</v>
      </c>
      <c r="Z103" s="17"/>
      <c r="AA103" s="17"/>
      <c r="AB103" s="17"/>
      <c r="AC103" s="37"/>
      <c r="AD103" s="17"/>
      <c r="AE103" s="17"/>
      <c r="AF103" s="17"/>
      <c r="AG103" s="17"/>
      <c r="AH103" s="44">
        <f>AI103</f>
        <v>300</v>
      </c>
      <c r="AI103" s="44">
        <v>300</v>
      </c>
      <c r="AJ103" s="17"/>
      <c r="AK103" s="37"/>
      <c r="AL103" s="232">
        <f>Y103-AN103</f>
        <v>941</v>
      </c>
      <c r="AM103" s="17">
        <v>3100</v>
      </c>
      <c r="AN103" s="17">
        <v>3059</v>
      </c>
      <c r="AO103" s="17"/>
      <c r="AP103" s="17"/>
      <c r="AQ103" s="17"/>
      <c r="AR103" s="17">
        <v>374</v>
      </c>
      <c r="AS103" s="17">
        <f>AT103+41</f>
        <v>2726</v>
      </c>
      <c r="AT103" s="17">
        <f t="shared" ref="AT103:AT109" si="130">AN103-AR103</f>
        <v>2685</v>
      </c>
      <c r="AU103" s="37"/>
      <c r="AV103" s="37"/>
      <c r="AW103" s="10"/>
      <c r="AX103" s="11"/>
      <c r="AZ103" s="13">
        <v>1</v>
      </c>
      <c r="BA103" s="13"/>
    </row>
    <row r="104" spans="1:53" s="14" customFormat="1" ht="47.25" x14ac:dyDescent="0.25">
      <c r="A104" s="49">
        <v>3</v>
      </c>
      <c r="B104" s="233" t="s">
        <v>249</v>
      </c>
      <c r="C104" s="41" t="s">
        <v>250</v>
      </c>
      <c r="D104" s="51" t="s">
        <v>251</v>
      </c>
      <c r="E104" s="7" t="s">
        <v>55</v>
      </c>
      <c r="F104" s="41" t="s">
        <v>252</v>
      </c>
      <c r="G104" s="17">
        <v>768</v>
      </c>
      <c r="H104" s="17">
        <v>760</v>
      </c>
      <c r="I104" s="37"/>
      <c r="J104" s="37"/>
      <c r="K104" s="37"/>
      <c r="L104" s="17">
        <v>0</v>
      </c>
      <c r="M104" s="17">
        <v>0</v>
      </c>
      <c r="N104" s="17">
        <v>0</v>
      </c>
      <c r="O104" s="17"/>
      <c r="P104" s="17">
        <v>3000</v>
      </c>
      <c r="Q104" s="17">
        <v>3000</v>
      </c>
      <c r="R104" s="17"/>
      <c r="S104" s="17"/>
      <c r="T104" s="17">
        <v>3000</v>
      </c>
      <c r="U104" s="17">
        <v>3000</v>
      </c>
      <c r="V104" s="17"/>
      <c r="W104" s="17"/>
      <c r="X104" s="44">
        <v>3000</v>
      </c>
      <c r="Y104" s="44">
        <v>2950</v>
      </c>
      <c r="Z104" s="17"/>
      <c r="AA104" s="17"/>
      <c r="AB104" s="17"/>
      <c r="AC104" s="37"/>
      <c r="AD104" s="17"/>
      <c r="AE104" s="17"/>
      <c r="AF104" s="17"/>
      <c r="AG104" s="17"/>
      <c r="AH104" s="44">
        <f>AI104</f>
        <v>150</v>
      </c>
      <c r="AI104" s="44">
        <v>150</v>
      </c>
      <c r="AJ104" s="17"/>
      <c r="AK104" s="37"/>
      <c r="AL104" s="65">
        <f>Y104-AN104</f>
        <v>2190</v>
      </c>
      <c r="AM104" s="17">
        <v>768</v>
      </c>
      <c r="AN104" s="17">
        <v>760</v>
      </c>
      <c r="AO104" s="17"/>
      <c r="AP104" s="17"/>
      <c r="AQ104" s="17"/>
      <c r="AS104" s="17">
        <f>AT104+8</f>
        <v>858</v>
      </c>
      <c r="AT104" s="399">
        <v>850</v>
      </c>
      <c r="AU104" s="37"/>
      <c r="AV104" s="37"/>
      <c r="AW104" s="41"/>
      <c r="AX104" s="11"/>
      <c r="AZ104" s="13">
        <v>1</v>
      </c>
      <c r="BA104" s="13"/>
    </row>
    <row r="105" spans="1:53" s="14" customFormat="1" ht="47.25" x14ac:dyDescent="0.25">
      <c r="A105" s="49">
        <v>4</v>
      </c>
      <c r="B105" s="234" t="s">
        <v>253</v>
      </c>
      <c r="C105" s="10" t="s">
        <v>246</v>
      </c>
      <c r="D105" s="51" t="s">
        <v>254</v>
      </c>
      <c r="E105" s="7" t="s">
        <v>57</v>
      </c>
      <c r="F105" s="10" t="s">
        <v>255</v>
      </c>
      <c r="G105" s="17">
        <v>2620</v>
      </c>
      <c r="H105" s="17">
        <v>2594</v>
      </c>
      <c r="I105" s="37"/>
      <c r="J105" s="37"/>
      <c r="K105" s="37"/>
      <c r="L105" s="17">
        <v>0</v>
      </c>
      <c r="M105" s="17">
        <v>0</v>
      </c>
      <c r="N105" s="17">
        <v>0</v>
      </c>
      <c r="O105" s="17"/>
      <c r="P105" s="17">
        <v>2620</v>
      </c>
      <c r="Q105" s="17">
        <v>2620</v>
      </c>
      <c r="R105" s="17"/>
      <c r="S105" s="17"/>
      <c r="T105" s="17">
        <v>2620</v>
      </c>
      <c r="U105" s="17">
        <v>2620</v>
      </c>
      <c r="V105" s="17"/>
      <c r="W105" s="17"/>
      <c r="X105" s="44">
        <v>2620</v>
      </c>
      <c r="Y105" s="44">
        <v>2550</v>
      </c>
      <c r="Z105" s="17"/>
      <c r="AA105" s="17"/>
      <c r="AB105" s="17"/>
      <c r="AC105" s="37"/>
      <c r="AD105" s="17"/>
      <c r="AE105" s="17"/>
      <c r="AF105" s="17"/>
      <c r="AG105" s="17"/>
      <c r="AH105" s="44">
        <f t="shared" ref="AH105:AH111" si="131">AI105</f>
        <v>1270</v>
      </c>
      <c r="AI105" s="44">
        <v>1270</v>
      </c>
      <c r="AJ105" s="17"/>
      <c r="AK105" s="232">
        <v>44</v>
      </c>
      <c r="AL105" s="232"/>
      <c r="AM105" s="17">
        <v>2620</v>
      </c>
      <c r="AN105" s="17">
        <v>2594</v>
      </c>
      <c r="AO105" s="17"/>
      <c r="AP105" s="17"/>
      <c r="AQ105" s="17"/>
      <c r="AR105" s="17">
        <v>248</v>
      </c>
      <c r="AS105" s="17">
        <f>AT105+26</f>
        <v>2372</v>
      </c>
      <c r="AT105" s="17">
        <f>AN105-AR105</f>
        <v>2346</v>
      </c>
      <c r="AU105" s="37"/>
      <c r="AV105" s="37"/>
      <c r="AW105" s="10"/>
      <c r="AX105" s="11"/>
      <c r="AZ105" s="13"/>
      <c r="BA105" s="13">
        <v>1</v>
      </c>
    </row>
    <row r="106" spans="1:53" s="14" customFormat="1" ht="47.25" x14ac:dyDescent="0.25">
      <c r="A106" s="49">
        <v>5</v>
      </c>
      <c r="B106" s="235" t="s">
        <v>256</v>
      </c>
      <c r="C106" s="10" t="s">
        <v>257</v>
      </c>
      <c r="D106" s="51" t="s">
        <v>258</v>
      </c>
      <c r="E106" s="7" t="s">
        <v>57</v>
      </c>
      <c r="F106" s="10" t="s">
        <v>259</v>
      </c>
      <c r="G106" s="17">
        <v>1490</v>
      </c>
      <c r="H106" s="17">
        <v>1475</v>
      </c>
      <c r="I106" s="37"/>
      <c r="J106" s="37"/>
      <c r="K106" s="37"/>
      <c r="L106" s="17">
        <v>0</v>
      </c>
      <c r="M106" s="17">
        <v>0</v>
      </c>
      <c r="N106" s="17">
        <v>0</v>
      </c>
      <c r="O106" s="17"/>
      <c r="P106" s="17">
        <v>1490</v>
      </c>
      <c r="Q106" s="17">
        <v>1490</v>
      </c>
      <c r="R106" s="17"/>
      <c r="S106" s="17"/>
      <c r="T106" s="17">
        <v>1490</v>
      </c>
      <c r="U106" s="17">
        <v>1490</v>
      </c>
      <c r="V106" s="17"/>
      <c r="W106" s="17"/>
      <c r="X106" s="44">
        <v>1490</v>
      </c>
      <c r="Y106" s="44">
        <v>1435</v>
      </c>
      <c r="Z106" s="17"/>
      <c r="AA106" s="17"/>
      <c r="AB106" s="17"/>
      <c r="AC106" s="37"/>
      <c r="AD106" s="17"/>
      <c r="AE106" s="17"/>
      <c r="AF106" s="17"/>
      <c r="AG106" s="17"/>
      <c r="AH106" s="44">
        <f t="shared" si="131"/>
        <v>1000</v>
      </c>
      <c r="AI106" s="44">
        <v>1000</v>
      </c>
      <c r="AJ106" s="17"/>
      <c r="AK106" s="232">
        <v>40</v>
      </c>
      <c r="AL106" s="232"/>
      <c r="AM106" s="17">
        <v>1490</v>
      </c>
      <c r="AN106" s="17">
        <v>1475</v>
      </c>
      <c r="AO106" s="17"/>
      <c r="AP106" s="17"/>
      <c r="AQ106" s="17"/>
      <c r="AR106" s="17">
        <v>361</v>
      </c>
      <c r="AS106" s="17">
        <f>AT106+15</f>
        <v>1129</v>
      </c>
      <c r="AT106" s="17">
        <f t="shared" si="130"/>
        <v>1114</v>
      </c>
      <c r="AU106" s="37"/>
      <c r="AV106" s="37"/>
      <c r="AW106" s="10"/>
      <c r="AX106" s="11"/>
      <c r="AZ106" s="13"/>
      <c r="BA106" s="13">
        <v>1</v>
      </c>
    </row>
    <row r="107" spans="1:53" s="14" customFormat="1" ht="47.25" x14ac:dyDescent="0.25">
      <c r="A107" s="49">
        <v>6</v>
      </c>
      <c r="B107" s="235" t="s">
        <v>260</v>
      </c>
      <c r="C107" s="10" t="s">
        <v>261</v>
      </c>
      <c r="D107" s="51" t="s">
        <v>262</v>
      </c>
      <c r="E107" s="7" t="s">
        <v>57</v>
      </c>
      <c r="F107" s="10" t="s">
        <v>263</v>
      </c>
      <c r="G107" s="17">
        <v>1700</v>
      </c>
      <c r="H107" s="17">
        <v>1683</v>
      </c>
      <c r="I107" s="37"/>
      <c r="J107" s="37"/>
      <c r="K107" s="37"/>
      <c r="L107" s="17">
        <v>0</v>
      </c>
      <c r="M107" s="17">
        <v>0</v>
      </c>
      <c r="N107" s="17">
        <v>0</v>
      </c>
      <c r="O107" s="17"/>
      <c r="P107" s="17">
        <v>1700</v>
      </c>
      <c r="Q107" s="17">
        <v>1700</v>
      </c>
      <c r="R107" s="17"/>
      <c r="S107" s="17"/>
      <c r="T107" s="17">
        <v>1700</v>
      </c>
      <c r="U107" s="17">
        <v>1700</v>
      </c>
      <c r="V107" s="17"/>
      <c r="W107" s="17"/>
      <c r="X107" s="44">
        <v>1700</v>
      </c>
      <c r="Y107" s="44">
        <v>1630</v>
      </c>
      <c r="Z107" s="17"/>
      <c r="AA107" s="17"/>
      <c r="AB107" s="17"/>
      <c r="AC107" s="37"/>
      <c r="AD107" s="17"/>
      <c r="AE107" s="17"/>
      <c r="AF107" s="17"/>
      <c r="AG107" s="17"/>
      <c r="AH107" s="44">
        <f t="shared" si="131"/>
        <v>100</v>
      </c>
      <c r="AI107" s="44">
        <v>100</v>
      </c>
      <c r="AJ107" s="17"/>
      <c r="AK107" s="232">
        <v>53</v>
      </c>
      <c r="AL107" s="232"/>
      <c r="AM107" s="17">
        <v>1700</v>
      </c>
      <c r="AN107" s="17">
        <v>1683</v>
      </c>
      <c r="AO107" s="17"/>
      <c r="AP107" s="17"/>
      <c r="AQ107" s="17"/>
      <c r="AR107" s="17">
        <v>67</v>
      </c>
      <c r="AS107" s="17">
        <f>AT107+17</f>
        <v>1633</v>
      </c>
      <c r="AT107" s="17">
        <f t="shared" si="130"/>
        <v>1616</v>
      </c>
      <c r="AU107" s="37"/>
      <c r="AV107" s="37"/>
      <c r="AW107" s="10"/>
      <c r="AX107" s="11"/>
      <c r="AZ107" s="13"/>
      <c r="BA107" s="13">
        <v>1</v>
      </c>
    </row>
    <row r="108" spans="1:53" s="14" customFormat="1" ht="47.25" x14ac:dyDescent="0.25">
      <c r="A108" s="49">
        <v>7</v>
      </c>
      <c r="B108" s="235" t="s">
        <v>264</v>
      </c>
      <c r="C108" s="10" t="s">
        <v>246</v>
      </c>
      <c r="D108" s="51" t="s">
        <v>265</v>
      </c>
      <c r="E108" s="7" t="s">
        <v>57</v>
      </c>
      <c r="F108" s="10" t="s">
        <v>266</v>
      </c>
      <c r="G108" s="17">
        <v>3940</v>
      </c>
      <c r="H108" s="17">
        <v>3895</v>
      </c>
      <c r="I108" s="37"/>
      <c r="J108" s="37"/>
      <c r="K108" s="37"/>
      <c r="L108" s="17">
        <v>0</v>
      </c>
      <c r="M108" s="17">
        <v>0</v>
      </c>
      <c r="N108" s="17">
        <v>0</v>
      </c>
      <c r="O108" s="17"/>
      <c r="P108" s="17">
        <v>4500</v>
      </c>
      <c r="Q108" s="17">
        <v>4500</v>
      </c>
      <c r="R108" s="17"/>
      <c r="S108" s="17"/>
      <c r="T108" s="17">
        <v>4500</v>
      </c>
      <c r="U108" s="17">
        <v>4500</v>
      </c>
      <c r="V108" s="17"/>
      <c r="W108" s="17"/>
      <c r="X108" s="44">
        <v>4500</v>
      </c>
      <c r="Y108" s="44">
        <v>4315</v>
      </c>
      <c r="Z108" s="17"/>
      <c r="AA108" s="17"/>
      <c r="AB108" s="17"/>
      <c r="AC108" s="37"/>
      <c r="AD108" s="17"/>
      <c r="AE108" s="17"/>
      <c r="AF108" s="17"/>
      <c r="AG108" s="17"/>
      <c r="AH108" s="44">
        <f>AI108</f>
        <v>300</v>
      </c>
      <c r="AI108" s="44">
        <v>300</v>
      </c>
      <c r="AJ108" s="17"/>
      <c r="AK108" s="37"/>
      <c r="AL108" s="232">
        <f>Y108-AN108</f>
        <v>420</v>
      </c>
      <c r="AM108" s="17">
        <v>3940</v>
      </c>
      <c r="AN108" s="17">
        <v>3895</v>
      </c>
      <c r="AO108" s="17"/>
      <c r="AP108" s="17"/>
      <c r="AQ108" s="17"/>
      <c r="AR108" s="17">
        <v>635</v>
      </c>
      <c r="AS108" s="17">
        <f>AT108+45</f>
        <v>3305</v>
      </c>
      <c r="AT108" s="17">
        <f t="shared" si="130"/>
        <v>3260</v>
      </c>
      <c r="AU108" s="37"/>
      <c r="AV108" s="37"/>
      <c r="AW108" s="10"/>
      <c r="AX108" s="11"/>
      <c r="AZ108" s="13">
        <v>1</v>
      </c>
      <c r="BA108" s="13"/>
    </row>
    <row r="109" spans="1:53" s="14" customFormat="1" ht="47.25" x14ac:dyDescent="0.25">
      <c r="A109" s="49">
        <v>8</v>
      </c>
      <c r="B109" s="235" t="s">
        <v>267</v>
      </c>
      <c r="C109" s="10" t="s">
        <v>261</v>
      </c>
      <c r="D109" s="51" t="s">
        <v>268</v>
      </c>
      <c r="E109" s="7" t="s">
        <v>57</v>
      </c>
      <c r="F109" s="10" t="s">
        <v>269</v>
      </c>
      <c r="G109" s="17">
        <v>2500</v>
      </c>
      <c r="H109" s="17">
        <v>2475</v>
      </c>
      <c r="I109" s="37"/>
      <c r="J109" s="37"/>
      <c r="K109" s="37"/>
      <c r="L109" s="17">
        <v>0</v>
      </c>
      <c r="M109" s="17">
        <v>0</v>
      </c>
      <c r="N109" s="17">
        <v>0</v>
      </c>
      <c r="O109" s="17"/>
      <c r="P109" s="17">
        <v>2500</v>
      </c>
      <c r="Q109" s="17">
        <v>2500</v>
      </c>
      <c r="R109" s="17"/>
      <c r="S109" s="17"/>
      <c r="T109" s="17">
        <v>2500</v>
      </c>
      <c r="U109" s="17">
        <v>2500</v>
      </c>
      <c r="V109" s="17"/>
      <c r="W109" s="17"/>
      <c r="X109" s="44">
        <v>2500</v>
      </c>
      <c r="Y109" s="44">
        <v>2400</v>
      </c>
      <c r="Z109" s="17"/>
      <c r="AA109" s="17"/>
      <c r="AB109" s="17"/>
      <c r="AC109" s="37"/>
      <c r="AD109" s="17"/>
      <c r="AE109" s="17"/>
      <c r="AF109" s="17"/>
      <c r="AG109" s="17"/>
      <c r="AH109" s="44">
        <f t="shared" si="131"/>
        <v>100</v>
      </c>
      <c r="AI109" s="44">
        <v>100</v>
      </c>
      <c r="AJ109" s="17"/>
      <c r="AK109" s="232">
        <v>75</v>
      </c>
      <c r="AL109" s="232"/>
      <c r="AM109" s="17">
        <v>2500</v>
      </c>
      <c r="AN109" s="17">
        <v>2475</v>
      </c>
      <c r="AO109" s="17"/>
      <c r="AP109" s="17"/>
      <c r="AQ109" s="17"/>
      <c r="AR109" s="17">
        <v>612</v>
      </c>
      <c r="AS109" s="17">
        <f>AT109+25</f>
        <v>1888</v>
      </c>
      <c r="AT109" s="17">
        <f t="shared" si="130"/>
        <v>1863</v>
      </c>
      <c r="AU109" s="37"/>
      <c r="AV109" s="37"/>
      <c r="AW109" s="10"/>
      <c r="AX109" s="11"/>
      <c r="AZ109" s="13"/>
      <c r="BA109" s="13">
        <v>1</v>
      </c>
    </row>
    <row r="110" spans="1:53" s="14" customFormat="1" ht="47.25" x14ac:dyDescent="0.25">
      <c r="A110" s="49">
        <v>9</v>
      </c>
      <c r="B110" s="234" t="s">
        <v>270</v>
      </c>
      <c r="C110" s="10" t="s">
        <v>271</v>
      </c>
      <c r="D110" s="51" t="s">
        <v>272</v>
      </c>
      <c r="E110" s="7" t="s">
        <v>57</v>
      </c>
      <c r="F110" s="10" t="s">
        <v>273</v>
      </c>
      <c r="G110" s="17">
        <v>13350</v>
      </c>
      <c r="H110" s="17">
        <v>13217</v>
      </c>
      <c r="I110" s="37"/>
      <c r="J110" s="37"/>
      <c r="K110" s="37"/>
      <c r="L110" s="17">
        <v>0</v>
      </c>
      <c r="M110" s="17">
        <v>0</v>
      </c>
      <c r="N110" s="17">
        <v>0</v>
      </c>
      <c r="O110" s="17"/>
      <c r="P110" s="17">
        <v>13350</v>
      </c>
      <c r="Q110" s="17">
        <v>13350</v>
      </c>
      <c r="R110" s="17"/>
      <c r="S110" s="17"/>
      <c r="T110" s="17">
        <v>13350</v>
      </c>
      <c r="U110" s="17">
        <v>13350</v>
      </c>
      <c r="V110" s="17"/>
      <c r="W110" s="17"/>
      <c r="X110" s="44">
        <v>13350</v>
      </c>
      <c r="Y110" s="44">
        <f>13350-133</f>
        <v>13217</v>
      </c>
      <c r="Z110" s="17"/>
      <c r="AA110" s="17"/>
      <c r="AB110" s="17"/>
      <c r="AC110" s="37"/>
      <c r="AD110" s="17"/>
      <c r="AE110" s="17"/>
      <c r="AF110" s="17"/>
      <c r="AG110" s="17"/>
      <c r="AH110" s="44">
        <f>AI110</f>
        <v>1900</v>
      </c>
      <c r="AI110" s="44">
        <v>1900</v>
      </c>
      <c r="AJ110" s="17"/>
      <c r="AK110" s="37"/>
      <c r="AL110" s="232">
        <f>Y110-AN110</f>
        <v>0</v>
      </c>
      <c r="AM110" s="17">
        <v>13350</v>
      </c>
      <c r="AN110" s="17">
        <v>13217</v>
      </c>
      <c r="AO110" s="17"/>
      <c r="AP110" s="17"/>
      <c r="AQ110" s="17"/>
      <c r="AR110" s="391">
        <v>117.39999999999964</v>
      </c>
      <c r="AS110" s="391">
        <f>AT110+133</f>
        <v>13232.6</v>
      </c>
      <c r="AT110" s="391">
        <f>AN110-AR110</f>
        <v>13099.6</v>
      </c>
      <c r="AU110" s="37"/>
      <c r="AV110" s="37"/>
      <c r="AW110" s="10"/>
      <c r="AX110" s="11"/>
      <c r="AZ110" s="13"/>
      <c r="BA110" s="13"/>
    </row>
    <row r="111" spans="1:53" s="14" customFormat="1" ht="47.25" x14ac:dyDescent="0.25">
      <c r="A111" s="49">
        <v>10</v>
      </c>
      <c r="B111" s="50" t="s">
        <v>274</v>
      </c>
      <c r="C111" s="10" t="s">
        <v>275</v>
      </c>
      <c r="D111" s="51" t="s">
        <v>276</v>
      </c>
      <c r="E111" s="196" t="s">
        <v>277</v>
      </c>
      <c r="F111" s="236" t="s">
        <v>278</v>
      </c>
      <c r="G111" s="17">
        <f>H111</f>
        <v>50891</v>
      </c>
      <c r="H111" s="17">
        <v>50891</v>
      </c>
      <c r="I111" s="37"/>
      <c r="J111" s="37"/>
      <c r="K111" s="37"/>
      <c r="L111" s="17">
        <v>0</v>
      </c>
      <c r="M111" s="17">
        <v>0</v>
      </c>
      <c r="N111" s="17">
        <v>0</v>
      </c>
      <c r="O111" s="17"/>
      <c r="P111" s="17">
        <v>70000</v>
      </c>
      <c r="Q111" s="17">
        <v>70000</v>
      </c>
      <c r="R111" s="17"/>
      <c r="S111" s="17"/>
      <c r="T111" s="17">
        <v>50000</v>
      </c>
      <c r="U111" s="17">
        <v>50000</v>
      </c>
      <c r="V111" s="17"/>
      <c r="W111" s="17"/>
      <c r="X111" s="44">
        <f>Y111</f>
        <v>45802</v>
      </c>
      <c r="Y111" s="44">
        <v>45802</v>
      </c>
      <c r="Z111" s="17"/>
      <c r="AA111" s="17"/>
      <c r="AB111" s="17"/>
      <c r="AC111" s="37"/>
      <c r="AD111" s="17"/>
      <c r="AE111" s="17"/>
      <c r="AF111" s="17"/>
      <c r="AG111" s="17"/>
      <c r="AH111" s="44">
        <f t="shared" si="131"/>
        <v>4157</v>
      </c>
      <c r="AI111" s="44">
        <v>4157</v>
      </c>
      <c r="AJ111" s="17"/>
      <c r="AK111" s="232"/>
      <c r="AL111" s="232">
        <f>Y111-AN111</f>
        <v>0</v>
      </c>
      <c r="AM111" s="17">
        <v>45802</v>
      </c>
      <c r="AN111" s="17">
        <v>45802</v>
      </c>
      <c r="AO111" s="17">
        <f t="shared" ref="AO111" si="132">AM111-AN111</f>
        <v>0</v>
      </c>
      <c r="AP111" s="17"/>
      <c r="AQ111" s="17"/>
      <c r="AR111" s="400">
        <v>0.19999999999708962</v>
      </c>
      <c r="AS111" s="399">
        <f>AT111</f>
        <v>45801.8</v>
      </c>
      <c r="AT111" s="399">
        <f>AN111-AR111</f>
        <v>45801.8</v>
      </c>
      <c r="AU111" s="37"/>
      <c r="AV111" s="37"/>
      <c r="AW111" s="10" t="s">
        <v>199</v>
      </c>
      <c r="AX111" s="19"/>
      <c r="AZ111" s="13"/>
      <c r="BA111" s="13"/>
    </row>
    <row r="112" spans="1:53" s="91" customFormat="1" ht="32.25" customHeight="1" x14ac:dyDescent="0.25">
      <c r="A112" s="34" t="s">
        <v>108</v>
      </c>
      <c r="B112" s="35" t="s">
        <v>553</v>
      </c>
      <c r="C112" s="87"/>
      <c r="D112" s="87"/>
      <c r="E112" s="87"/>
      <c r="F112" s="87"/>
      <c r="G112" s="98">
        <f t="shared" ref="G112:AM112" si="133">SUM(G113:G114)</f>
        <v>13460</v>
      </c>
      <c r="H112" s="98">
        <f t="shared" si="133"/>
        <v>13353</v>
      </c>
      <c r="I112" s="88">
        <f t="shared" si="133"/>
        <v>0</v>
      </c>
      <c r="J112" s="88">
        <f t="shared" si="133"/>
        <v>0</v>
      </c>
      <c r="K112" s="88">
        <f t="shared" si="133"/>
        <v>0</v>
      </c>
      <c r="L112" s="88">
        <f t="shared" si="133"/>
        <v>0</v>
      </c>
      <c r="M112" s="88">
        <f t="shared" si="133"/>
        <v>0</v>
      </c>
      <c r="N112" s="88">
        <f t="shared" si="133"/>
        <v>0</v>
      </c>
      <c r="O112" s="88">
        <f t="shared" si="133"/>
        <v>0</v>
      </c>
      <c r="P112" s="88">
        <f t="shared" si="133"/>
        <v>0</v>
      </c>
      <c r="Q112" s="88">
        <f t="shared" si="133"/>
        <v>0</v>
      </c>
      <c r="R112" s="88">
        <f t="shared" si="133"/>
        <v>0</v>
      </c>
      <c r="S112" s="88">
        <f t="shared" si="133"/>
        <v>0</v>
      </c>
      <c r="T112" s="88">
        <f t="shared" si="133"/>
        <v>0</v>
      </c>
      <c r="U112" s="88">
        <f t="shared" si="133"/>
        <v>0</v>
      </c>
      <c r="V112" s="88">
        <f t="shared" si="133"/>
        <v>0</v>
      </c>
      <c r="W112" s="88">
        <f t="shared" si="133"/>
        <v>0</v>
      </c>
      <c r="X112" s="88">
        <f t="shared" si="133"/>
        <v>0</v>
      </c>
      <c r="Y112" s="88">
        <f t="shared" si="133"/>
        <v>0</v>
      </c>
      <c r="Z112" s="88">
        <f t="shared" si="133"/>
        <v>0</v>
      </c>
      <c r="AA112" s="88">
        <f t="shared" si="133"/>
        <v>0</v>
      </c>
      <c r="AB112" s="88">
        <f t="shared" si="133"/>
        <v>0</v>
      </c>
      <c r="AC112" s="88">
        <f t="shared" si="133"/>
        <v>0</v>
      </c>
      <c r="AD112" s="88">
        <f t="shared" si="133"/>
        <v>0</v>
      </c>
      <c r="AE112" s="88">
        <f t="shared" si="133"/>
        <v>0</v>
      </c>
      <c r="AF112" s="88">
        <f t="shared" si="133"/>
        <v>0</v>
      </c>
      <c r="AG112" s="88">
        <f t="shared" si="133"/>
        <v>0</v>
      </c>
      <c r="AH112" s="88">
        <f t="shared" si="133"/>
        <v>0</v>
      </c>
      <c r="AI112" s="88">
        <f t="shared" si="133"/>
        <v>0</v>
      </c>
      <c r="AJ112" s="88">
        <f t="shared" si="133"/>
        <v>0</v>
      </c>
      <c r="AK112" s="88">
        <f t="shared" si="133"/>
        <v>8264</v>
      </c>
      <c r="AL112" s="88">
        <f t="shared" si="133"/>
        <v>0</v>
      </c>
      <c r="AM112" s="98">
        <f t="shared" si="133"/>
        <v>26709</v>
      </c>
      <c r="AN112" s="98">
        <f>SUM(AN113:AN114)</f>
        <v>13353</v>
      </c>
      <c r="AO112" s="98">
        <f t="shared" ref="AO112:AT112" si="134">SUM(AO113:AO114)</f>
        <v>0</v>
      </c>
      <c r="AP112" s="98">
        <f t="shared" si="134"/>
        <v>0</v>
      </c>
      <c r="AQ112" s="98">
        <f t="shared" si="134"/>
        <v>0</v>
      </c>
      <c r="AR112" s="98">
        <f t="shared" si="134"/>
        <v>0</v>
      </c>
      <c r="AS112" s="98">
        <f t="shared" si="134"/>
        <v>26709</v>
      </c>
      <c r="AT112" s="98">
        <f t="shared" si="134"/>
        <v>13353</v>
      </c>
      <c r="AU112" s="88"/>
      <c r="AV112" s="88"/>
      <c r="AW112" s="89"/>
      <c r="AX112" s="90"/>
      <c r="AZ112" s="92"/>
      <c r="BA112" s="92"/>
    </row>
    <row r="113" spans="1:54" s="14" customFormat="1" ht="47.25" x14ac:dyDescent="0.25">
      <c r="A113" s="49">
        <v>1</v>
      </c>
      <c r="B113" s="50" t="s">
        <v>279</v>
      </c>
      <c r="C113" s="10" t="s">
        <v>89</v>
      </c>
      <c r="D113" s="51"/>
      <c r="E113" s="7" t="s">
        <v>65</v>
      </c>
      <c r="F113" s="1" t="s">
        <v>548</v>
      </c>
      <c r="G113" s="2">
        <v>8340</v>
      </c>
      <c r="H113" s="2">
        <v>8264</v>
      </c>
      <c r="I113" s="93"/>
      <c r="J113" s="93"/>
      <c r="K113" s="93"/>
      <c r="L113" s="94"/>
      <c r="M113" s="94"/>
      <c r="N113" s="94"/>
      <c r="O113" s="94"/>
      <c r="P113" s="94"/>
      <c r="Q113" s="94"/>
      <c r="R113" s="94"/>
      <c r="S113" s="94"/>
      <c r="T113" s="94"/>
      <c r="U113" s="94"/>
      <c r="V113" s="94"/>
      <c r="W113" s="94"/>
      <c r="X113" s="95"/>
      <c r="Y113" s="95"/>
      <c r="Z113" s="94"/>
      <c r="AA113" s="94"/>
      <c r="AB113" s="94"/>
      <c r="AC113" s="93"/>
      <c r="AD113" s="94"/>
      <c r="AE113" s="94"/>
      <c r="AF113" s="94"/>
      <c r="AG113" s="94"/>
      <c r="AH113" s="95"/>
      <c r="AI113" s="95"/>
      <c r="AJ113" s="94"/>
      <c r="AK113" s="96">
        <v>8264</v>
      </c>
      <c r="AL113" s="96"/>
      <c r="AM113" s="96">
        <v>8340</v>
      </c>
      <c r="AN113" s="96">
        <v>8264</v>
      </c>
      <c r="AO113" s="17"/>
      <c r="AP113" s="17"/>
      <c r="AQ113" s="17"/>
      <c r="AR113" s="17"/>
      <c r="AS113" s="17">
        <f>AT113+76</f>
        <v>8340</v>
      </c>
      <c r="AT113" s="17">
        <v>8264</v>
      </c>
      <c r="AU113" s="54"/>
      <c r="AV113" s="54"/>
      <c r="AW113" s="10"/>
      <c r="AX113" s="19"/>
      <c r="AZ113" s="13"/>
      <c r="BA113" s="13"/>
      <c r="BB113" s="14">
        <v>1</v>
      </c>
    </row>
    <row r="114" spans="1:54" s="14" customFormat="1" ht="108" customHeight="1" x14ac:dyDescent="0.25">
      <c r="A114" s="49">
        <v>2</v>
      </c>
      <c r="B114" s="50" t="s">
        <v>538</v>
      </c>
      <c r="C114" s="41"/>
      <c r="D114" s="51"/>
      <c r="E114" s="7"/>
      <c r="F114" s="137"/>
      <c r="G114" s="2">
        <v>5120</v>
      </c>
      <c r="H114" s="2">
        <v>5089</v>
      </c>
      <c r="I114" s="93"/>
      <c r="J114" s="93"/>
      <c r="K114" s="93"/>
      <c r="L114" s="94"/>
      <c r="M114" s="94"/>
      <c r="N114" s="94"/>
      <c r="O114" s="94"/>
      <c r="P114" s="94"/>
      <c r="Q114" s="94"/>
      <c r="R114" s="94"/>
      <c r="S114" s="94"/>
      <c r="T114" s="94"/>
      <c r="U114" s="94"/>
      <c r="V114" s="94"/>
      <c r="W114" s="94"/>
      <c r="X114" s="95"/>
      <c r="Y114" s="95"/>
      <c r="Z114" s="94"/>
      <c r="AA114" s="94"/>
      <c r="AB114" s="94"/>
      <c r="AC114" s="93"/>
      <c r="AD114" s="94"/>
      <c r="AE114" s="94"/>
      <c r="AF114" s="94"/>
      <c r="AG114" s="94"/>
      <c r="AH114" s="95"/>
      <c r="AI114" s="95"/>
      <c r="AJ114" s="94"/>
      <c r="AK114" s="96"/>
      <c r="AL114" s="96"/>
      <c r="AM114" s="96">
        <f>AN114+13246+34</f>
        <v>18369</v>
      </c>
      <c r="AN114" s="96">
        <v>5089</v>
      </c>
      <c r="AO114" s="17"/>
      <c r="AP114" s="17"/>
      <c r="AQ114" s="17"/>
      <c r="AR114" s="17"/>
      <c r="AS114" s="96">
        <f>AT114+13246+34</f>
        <v>18369</v>
      </c>
      <c r="AT114" s="96">
        <v>5089</v>
      </c>
      <c r="AU114" s="54"/>
      <c r="AV114" s="54"/>
      <c r="AW114" s="41" t="s">
        <v>539</v>
      </c>
      <c r="AX114" s="19"/>
      <c r="AZ114" s="13"/>
      <c r="BA114" s="13"/>
    </row>
    <row r="115" spans="1:54" s="14" customFormat="1" ht="21.95" customHeight="1" x14ac:dyDescent="0.25">
      <c r="A115" s="49"/>
      <c r="B115" s="50"/>
      <c r="C115" s="10"/>
      <c r="D115" s="51"/>
      <c r="E115" s="7"/>
      <c r="F115" s="52"/>
      <c r="G115" s="53"/>
      <c r="H115" s="53"/>
      <c r="I115" s="54"/>
      <c r="J115" s="54"/>
      <c r="K115" s="54"/>
      <c r="L115" s="55"/>
      <c r="M115" s="55"/>
      <c r="N115" s="55"/>
      <c r="O115" s="55"/>
      <c r="P115" s="55"/>
      <c r="Q115" s="55"/>
      <c r="R115" s="55"/>
      <c r="S115" s="55"/>
      <c r="T115" s="55"/>
      <c r="U115" s="55"/>
      <c r="V115" s="55"/>
      <c r="W115" s="55"/>
      <c r="X115" s="56"/>
      <c r="Y115" s="56"/>
      <c r="Z115" s="55"/>
      <c r="AA115" s="55"/>
      <c r="AB115" s="55"/>
      <c r="AC115" s="54"/>
      <c r="AD115" s="55"/>
      <c r="AE115" s="55"/>
      <c r="AF115" s="55"/>
      <c r="AG115" s="55"/>
      <c r="AH115" s="56"/>
      <c r="AI115" s="56"/>
      <c r="AJ115" s="55"/>
      <c r="AK115" s="53"/>
      <c r="AL115" s="53"/>
      <c r="AM115" s="53"/>
      <c r="AN115" s="53"/>
      <c r="AO115" s="54"/>
      <c r="AP115" s="54"/>
      <c r="AQ115" s="54"/>
      <c r="AR115" s="54"/>
      <c r="AS115" s="54"/>
      <c r="AT115" s="54"/>
      <c r="AU115" s="54"/>
      <c r="AV115" s="54"/>
      <c r="AW115" s="10"/>
      <c r="AX115" s="19"/>
      <c r="AZ115" s="13"/>
      <c r="BA115" s="13"/>
    </row>
    <row r="116" spans="1:54" s="14" customFormat="1" ht="27.6" customHeight="1" x14ac:dyDescent="0.25">
      <c r="A116" s="859" t="s">
        <v>280</v>
      </c>
      <c r="B116" s="860"/>
      <c r="C116" s="57"/>
      <c r="D116" s="158"/>
      <c r="E116" s="158"/>
      <c r="F116" s="57"/>
      <c r="G116" s="38">
        <f t="shared" ref="G116:AT116" si="135">G117+G118</f>
        <v>156688.16351099999</v>
      </c>
      <c r="H116" s="38">
        <f t="shared" si="135"/>
        <v>152166.98951099999</v>
      </c>
      <c r="I116" s="38">
        <f t="shared" si="135"/>
        <v>0</v>
      </c>
      <c r="J116" s="38">
        <f t="shared" si="135"/>
        <v>0</v>
      </c>
      <c r="K116" s="38">
        <f t="shared" si="135"/>
        <v>0</v>
      </c>
      <c r="L116" s="38">
        <f t="shared" si="135"/>
        <v>45378</v>
      </c>
      <c r="M116" s="38">
        <f t="shared" si="135"/>
        <v>44848</v>
      </c>
      <c r="N116" s="38">
        <f t="shared" si="135"/>
        <v>41528.142</v>
      </c>
      <c r="O116" s="38">
        <f t="shared" si="135"/>
        <v>40356.142</v>
      </c>
      <c r="P116" s="38">
        <f t="shared" si="135"/>
        <v>109486.90951100001</v>
      </c>
      <c r="Q116" s="38">
        <f t="shared" si="135"/>
        <v>105874.90951100001</v>
      </c>
      <c r="R116" s="38">
        <f t="shared" si="135"/>
        <v>0</v>
      </c>
      <c r="S116" s="38">
        <f t="shared" si="135"/>
        <v>0</v>
      </c>
      <c r="T116" s="38">
        <f t="shared" si="135"/>
        <v>94183.909511000005</v>
      </c>
      <c r="U116" s="38">
        <f t="shared" si="135"/>
        <v>94183.909511000005</v>
      </c>
      <c r="V116" s="38">
        <f t="shared" si="135"/>
        <v>0</v>
      </c>
      <c r="W116" s="38">
        <f t="shared" si="135"/>
        <v>0</v>
      </c>
      <c r="X116" s="38">
        <f t="shared" si="135"/>
        <v>112012</v>
      </c>
      <c r="Y116" s="38">
        <f t="shared" si="135"/>
        <v>108050</v>
      </c>
      <c r="Z116" s="38">
        <f t="shared" si="135"/>
        <v>0</v>
      </c>
      <c r="AA116" s="38">
        <f t="shared" si="135"/>
        <v>0</v>
      </c>
      <c r="AB116" s="38">
        <f t="shared" si="135"/>
        <v>24140</v>
      </c>
      <c r="AC116" s="38">
        <f t="shared" si="135"/>
        <v>-4475</v>
      </c>
      <c r="AD116" s="38">
        <f t="shared" si="135"/>
        <v>19064</v>
      </c>
      <c r="AE116" s="38">
        <f t="shared" si="135"/>
        <v>19064</v>
      </c>
      <c r="AF116" s="38">
        <f t="shared" si="135"/>
        <v>0</v>
      </c>
      <c r="AG116" s="38">
        <f t="shared" si="135"/>
        <v>0</v>
      </c>
      <c r="AH116" s="38">
        <f t="shared" si="135"/>
        <v>17625</v>
      </c>
      <c r="AI116" s="38">
        <f t="shared" si="135"/>
        <v>17625</v>
      </c>
      <c r="AJ116" s="38">
        <f t="shared" si="135"/>
        <v>0</v>
      </c>
      <c r="AK116" s="38">
        <f t="shared" si="135"/>
        <v>4892.9409999999998</v>
      </c>
      <c r="AL116" s="38">
        <f t="shared" si="135"/>
        <v>301.94099999999997</v>
      </c>
      <c r="AM116" s="38">
        <f t="shared" si="135"/>
        <v>117600.174</v>
      </c>
      <c r="AN116" s="38">
        <f t="shared" si="135"/>
        <v>113519</v>
      </c>
      <c r="AO116" s="38">
        <f t="shared" si="135"/>
        <v>0</v>
      </c>
      <c r="AP116" s="38">
        <f t="shared" si="135"/>
        <v>0</v>
      </c>
      <c r="AQ116" s="38">
        <f t="shared" si="135"/>
        <v>0</v>
      </c>
      <c r="AR116" s="38">
        <f t="shared" si="135"/>
        <v>575.00000000000023</v>
      </c>
      <c r="AS116" s="38">
        <f t="shared" si="135"/>
        <v>113353.07999999999</v>
      </c>
      <c r="AT116" s="316">
        <f t="shared" si="135"/>
        <v>112943.90599999999</v>
      </c>
      <c r="AU116" s="17"/>
      <c r="AV116" s="17"/>
      <c r="AW116" s="199">
        <v>112641</v>
      </c>
      <c r="AX116" s="200">
        <f>AW116-108050</f>
        <v>4591</v>
      </c>
      <c r="AY116" s="157"/>
    </row>
    <row r="117" spans="1:54" s="14" customFormat="1" ht="36" customHeight="1" x14ac:dyDescent="0.25">
      <c r="A117" s="159" t="s">
        <v>100</v>
      </c>
      <c r="B117" s="237" t="s">
        <v>281</v>
      </c>
      <c r="C117" s="57"/>
      <c r="D117" s="158"/>
      <c r="E117" s="158"/>
      <c r="F117" s="57"/>
      <c r="G117" s="37">
        <v>0</v>
      </c>
      <c r="H117" s="37">
        <v>0</v>
      </c>
      <c r="I117" s="37"/>
      <c r="J117" s="37"/>
      <c r="K117" s="37"/>
      <c r="L117" s="38">
        <v>2680</v>
      </c>
      <c r="M117" s="38">
        <v>2680</v>
      </c>
      <c r="N117" s="38">
        <v>1172</v>
      </c>
      <c r="O117" s="37"/>
      <c r="P117" s="38">
        <f>1500*5</f>
        <v>7500</v>
      </c>
      <c r="Q117" s="38">
        <f>1500*5</f>
        <v>7500</v>
      </c>
      <c r="R117" s="38"/>
      <c r="S117" s="38"/>
      <c r="T117" s="38">
        <v>7529</v>
      </c>
      <c r="U117" s="38">
        <v>7529</v>
      </c>
      <c r="V117" s="38"/>
      <c r="W117" s="38"/>
      <c r="X117" s="37">
        <f>Y117</f>
        <v>7994</v>
      </c>
      <c r="Y117" s="37">
        <v>7994</v>
      </c>
      <c r="Z117" s="38"/>
      <c r="AA117" s="38"/>
      <c r="AB117" s="38"/>
      <c r="AC117" s="37">
        <f>Y117-U117</f>
        <v>465</v>
      </c>
      <c r="AD117" s="37">
        <f>AE117</f>
        <v>1500</v>
      </c>
      <c r="AE117" s="37">
        <v>1500</v>
      </c>
      <c r="AF117" s="38"/>
      <c r="AG117" s="37"/>
      <c r="AH117" s="37">
        <f>AI117</f>
        <v>3000</v>
      </c>
      <c r="AI117" s="37">
        <v>3000</v>
      </c>
      <c r="AJ117" s="38"/>
      <c r="AK117" s="38"/>
      <c r="AL117" s="38"/>
      <c r="AM117" s="99">
        <f>AN117</f>
        <v>8678</v>
      </c>
      <c r="AN117" s="99">
        <f>7994+684</f>
        <v>8678</v>
      </c>
      <c r="AO117" s="38"/>
      <c r="AP117" s="38"/>
      <c r="AQ117" s="38"/>
      <c r="AR117" s="38"/>
      <c r="AS117" s="38">
        <f>AT117</f>
        <v>8678</v>
      </c>
      <c r="AT117" s="38">
        <v>8678</v>
      </c>
      <c r="AU117" s="38"/>
      <c r="AV117" s="38"/>
      <c r="AW117" s="141"/>
      <c r="AX117" s="238" t="s">
        <v>534</v>
      </c>
      <c r="AY117" s="239"/>
      <c r="AZ117" s="13"/>
      <c r="BA117" s="13"/>
    </row>
    <row r="118" spans="1:54" s="14" customFormat="1" ht="34.5" customHeight="1" x14ac:dyDescent="0.25">
      <c r="A118" s="240" t="s">
        <v>102</v>
      </c>
      <c r="B118" s="237" t="s">
        <v>282</v>
      </c>
      <c r="C118" s="57"/>
      <c r="D118" s="158"/>
      <c r="E118" s="158"/>
      <c r="F118" s="57"/>
      <c r="G118" s="38">
        <f t="shared" ref="G118:AT118" si="136">G119+G120</f>
        <v>156688.16351099999</v>
      </c>
      <c r="H118" s="38">
        <f t="shared" si="136"/>
        <v>152166.98951099999</v>
      </c>
      <c r="I118" s="38">
        <f t="shared" si="136"/>
        <v>0</v>
      </c>
      <c r="J118" s="38">
        <f t="shared" si="136"/>
        <v>0</v>
      </c>
      <c r="K118" s="38">
        <f t="shared" si="136"/>
        <v>0</v>
      </c>
      <c r="L118" s="38">
        <f t="shared" si="136"/>
        <v>42698</v>
      </c>
      <c r="M118" s="38">
        <f t="shared" si="136"/>
        <v>42168</v>
      </c>
      <c r="N118" s="38">
        <f t="shared" si="136"/>
        <v>40356.142</v>
      </c>
      <c r="O118" s="38">
        <f t="shared" si="136"/>
        <v>40356.142</v>
      </c>
      <c r="P118" s="38">
        <f t="shared" si="136"/>
        <v>101986.90951100001</v>
      </c>
      <c r="Q118" s="38">
        <f t="shared" si="136"/>
        <v>98374.909511000005</v>
      </c>
      <c r="R118" s="38">
        <f t="shared" si="136"/>
        <v>0</v>
      </c>
      <c r="S118" s="38">
        <f t="shared" si="136"/>
        <v>0</v>
      </c>
      <c r="T118" s="38">
        <f t="shared" si="136"/>
        <v>86654.909511000005</v>
      </c>
      <c r="U118" s="38">
        <f t="shared" si="136"/>
        <v>86654.909511000005</v>
      </c>
      <c r="V118" s="38">
        <f t="shared" si="136"/>
        <v>0</v>
      </c>
      <c r="W118" s="38">
        <f t="shared" si="136"/>
        <v>0</v>
      </c>
      <c r="X118" s="38">
        <f t="shared" si="136"/>
        <v>104018</v>
      </c>
      <c r="Y118" s="38">
        <f t="shared" si="136"/>
        <v>100056</v>
      </c>
      <c r="Z118" s="38">
        <f t="shared" si="136"/>
        <v>0</v>
      </c>
      <c r="AA118" s="38">
        <f t="shared" si="136"/>
        <v>0</v>
      </c>
      <c r="AB118" s="38">
        <f t="shared" si="136"/>
        <v>24140</v>
      </c>
      <c r="AC118" s="38">
        <f t="shared" si="136"/>
        <v>-4940</v>
      </c>
      <c r="AD118" s="38">
        <f t="shared" si="136"/>
        <v>17564</v>
      </c>
      <c r="AE118" s="38">
        <f t="shared" si="136"/>
        <v>17564</v>
      </c>
      <c r="AF118" s="38">
        <f t="shared" si="136"/>
        <v>0</v>
      </c>
      <c r="AG118" s="38">
        <f t="shared" si="136"/>
        <v>0</v>
      </c>
      <c r="AH118" s="38">
        <f t="shared" si="136"/>
        <v>14625</v>
      </c>
      <c r="AI118" s="38">
        <f t="shared" si="136"/>
        <v>14625</v>
      </c>
      <c r="AJ118" s="38">
        <f t="shared" si="136"/>
        <v>0</v>
      </c>
      <c r="AK118" s="38">
        <f t="shared" si="136"/>
        <v>4892.9409999999998</v>
      </c>
      <c r="AL118" s="38">
        <f t="shared" si="136"/>
        <v>301.94099999999997</v>
      </c>
      <c r="AM118" s="38">
        <f t="shared" si="136"/>
        <v>108922.174</v>
      </c>
      <c r="AN118" s="38">
        <f t="shared" si="136"/>
        <v>104841</v>
      </c>
      <c r="AO118" s="38">
        <f t="shared" si="136"/>
        <v>0</v>
      </c>
      <c r="AP118" s="38">
        <f t="shared" si="136"/>
        <v>0</v>
      </c>
      <c r="AQ118" s="38">
        <f t="shared" si="136"/>
        <v>0</v>
      </c>
      <c r="AR118" s="38">
        <f t="shared" si="136"/>
        <v>575.00000000000023</v>
      </c>
      <c r="AS118" s="38">
        <f t="shared" si="136"/>
        <v>104675.07999999999</v>
      </c>
      <c r="AT118" s="38">
        <f t="shared" si="136"/>
        <v>104265.90599999999</v>
      </c>
      <c r="AU118" s="37"/>
      <c r="AV118" s="37"/>
      <c r="AW118" s="141"/>
      <c r="AX118" s="238" t="s">
        <v>535</v>
      </c>
      <c r="AZ118" s="13"/>
      <c r="BA118" s="13"/>
    </row>
    <row r="119" spans="1:54" s="14" customFormat="1" ht="24.6" customHeight="1" x14ac:dyDescent="0.25">
      <c r="A119" s="59"/>
      <c r="B119" s="166" t="s">
        <v>104</v>
      </c>
      <c r="C119" s="57"/>
      <c r="D119" s="158"/>
      <c r="E119" s="158"/>
      <c r="F119" s="57"/>
      <c r="G119" s="37"/>
      <c r="H119" s="37"/>
      <c r="I119" s="37"/>
      <c r="J119" s="37"/>
      <c r="K119" s="37"/>
      <c r="L119" s="17"/>
      <c r="M119" s="17"/>
      <c r="N119" s="17"/>
      <c r="O119" s="17"/>
      <c r="P119" s="17"/>
      <c r="Q119" s="17"/>
      <c r="R119" s="17"/>
      <c r="S119" s="17"/>
      <c r="T119" s="17"/>
      <c r="U119" s="17"/>
      <c r="V119" s="17"/>
      <c r="W119" s="17"/>
      <c r="X119" s="17"/>
      <c r="Y119" s="17"/>
      <c r="Z119" s="17"/>
      <c r="AA119" s="17"/>
      <c r="AB119" s="17"/>
      <c r="AC119" s="37"/>
      <c r="AD119" s="17"/>
      <c r="AE119" s="17"/>
      <c r="AF119" s="17"/>
      <c r="AG119" s="17"/>
      <c r="AH119" s="17"/>
      <c r="AI119" s="17"/>
      <c r="AJ119" s="17"/>
      <c r="AK119" s="17"/>
      <c r="AL119" s="17"/>
      <c r="AM119" s="17"/>
      <c r="AN119" s="17"/>
      <c r="AO119" s="17"/>
      <c r="AP119" s="17"/>
      <c r="AQ119" s="17"/>
      <c r="AR119" s="17"/>
      <c r="AS119" s="17"/>
      <c r="AT119" s="17"/>
      <c r="AU119" s="17"/>
      <c r="AV119" s="17"/>
      <c r="AW119" s="141"/>
      <c r="AX119" s="79">
        <f>8678-AN117</f>
        <v>0</v>
      </c>
      <c r="AZ119" s="13"/>
      <c r="BA119" s="13"/>
    </row>
    <row r="120" spans="1:54" s="14" customFormat="1" ht="24.6" customHeight="1" x14ac:dyDescent="0.25">
      <c r="A120" s="202"/>
      <c r="B120" s="204" t="s">
        <v>105</v>
      </c>
      <c r="C120" s="57"/>
      <c r="D120" s="158"/>
      <c r="E120" s="158"/>
      <c r="F120" s="57"/>
      <c r="G120" s="38">
        <f t="shared" ref="G120:AM120" si="137">G121+G142</f>
        <v>156688.16351099999</v>
      </c>
      <c r="H120" s="38">
        <f t="shared" si="137"/>
        <v>152166.98951099999</v>
      </c>
      <c r="I120" s="38">
        <f t="shared" si="137"/>
        <v>0</v>
      </c>
      <c r="J120" s="38">
        <f t="shared" si="137"/>
        <v>0</v>
      </c>
      <c r="K120" s="38">
        <f t="shared" si="137"/>
        <v>0</v>
      </c>
      <c r="L120" s="38">
        <f t="shared" si="137"/>
        <v>42698</v>
      </c>
      <c r="M120" s="38">
        <f t="shared" si="137"/>
        <v>42168</v>
      </c>
      <c r="N120" s="38">
        <f t="shared" si="137"/>
        <v>40356.142</v>
      </c>
      <c r="O120" s="38">
        <f t="shared" si="137"/>
        <v>40356.142</v>
      </c>
      <c r="P120" s="38">
        <f t="shared" si="137"/>
        <v>101986.90951100001</v>
      </c>
      <c r="Q120" s="38">
        <f t="shared" si="137"/>
        <v>98374.909511000005</v>
      </c>
      <c r="R120" s="38">
        <f t="shared" si="137"/>
        <v>0</v>
      </c>
      <c r="S120" s="38">
        <f t="shared" si="137"/>
        <v>0</v>
      </c>
      <c r="T120" s="38">
        <f t="shared" si="137"/>
        <v>86654.909511000005</v>
      </c>
      <c r="U120" s="38">
        <f t="shared" si="137"/>
        <v>86654.909511000005</v>
      </c>
      <c r="V120" s="38">
        <f t="shared" si="137"/>
        <v>0</v>
      </c>
      <c r="W120" s="38">
        <f t="shared" si="137"/>
        <v>0</v>
      </c>
      <c r="X120" s="38">
        <f t="shared" si="137"/>
        <v>104018</v>
      </c>
      <c r="Y120" s="38">
        <f t="shared" si="137"/>
        <v>100056</v>
      </c>
      <c r="Z120" s="38">
        <f t="shared" si="137"/>
        <v>0</v>
      </c>
      <c r="AA120" s="38">
        <f t="shared" si="137"/>
        <v>0</v>
      </c>
      <c r="AB120" s="38">
        <f t="shared" si="137"/>
        <v>24140</v>
      </c>
      <c r="AC120" s="38">
        <f t="shared" si="137"/>
        <v>-4940</v>
      </c>
      <c r="AD120" s="38">
        <f t="shared" si="137"/>
        <v>17564</v>
      </c>
      <c r="AE120" s="38">
        <f t="shared" si="137"/>
        <v>17564</v>
      </c>
      <c r="AF120" s="38">
        <f t="shared" si="137"/>
        <v>0</v>
      </c>
      <c r="AG120" s="38">
        <f t="shared" si="137"/>
        <v>0</v>
      </c>
      <c r="AH120" s="38">
        <f t="shared" si="137"/>
        <v>14625</v>
      </c>
      <c r="AI120" s="38">
        <f t="shared" si="137"/>
        <v>14625</v>
      </c>
      <c r="AJ120" s="38">
        <f t="shared" si="137"/>
        <v>0</v>
      </c>
      <c r="AK120" s="38">
        <f>AK121+AK142</f>
        <v>4892.9409999999998</v>
      </c>
      <c r="AL120" s="38">
        <f t="shared" si="137"/>
        <v>301.94099999999997</v>
      </c>
      <c r="AM120" s="38">
        <f t="shared" si="137"/>
        <v>108922.174</v>
      </c>
      <c r="AN120" s="38">
        <f>AN121+AN142</f>
        <v>104841</v>
      </c>
      <c r="AO120" s="38">
        <f t="shared" ref="AO120:AT120" si="138">AO121+AO142</f>
        <v>0</v>
      </c>
      <c r="AP120" s="38">
        <f t="shared" si="138"/>
        <v>0</v>
      </c>
      <c r="AQ120" s="38">
        <f t="shared" si="138"/>
        <v>0</v>
      </c>
      <c r="AR120" s="38">
        <f t="shared" si="138"/>
        <v>575.00000000000023</v>
      </c>
      <c r="AS120" s="38">
        <f t="shared" si="138"/>
        <v>104675.07999999999</v>
      </c>
      <c r="AT120" s="38">
        <f t="shared" si="138"/>
        <v>104265.90599999999</v>
      </c>
      <c r="AU120" s="37"/>
      <c r="AV120" s="37"/>
      <c r="AW120" s="147">
        <f>A135+A141+A155</f>
        <v>30</v>
      </c>
      <c r="AX120" s="79"/>
      <c r="AZ120" s="13"/>
      <c r="BA120" s="13"/>
    </row>
    <row r="121" spans="1:54" s="14" customFormat="1" ht="47.25" x14ac:dyDescent="0.25">
      <c r="A121" s="163" t="s">
        <v>106</v>
      </c>
      <c r="B121" s="166" t="s">
        <v>107</v>
      </c>
      <c r="C121" s="57"/>
      <c r="D121" s="158"/>
      <c r="E121" s="158"/>
      <c r="F121" s="57"/>
      <c r="G121" s="38">
        <f t="shared" ref="G121:AM121" si="139">G122+G136</f>
        <v>66554.163511000006</v>
      </c>
      <c r="H121" s="38">
        <f t="shared" si="139"/>
        <v>62412.163510999999</v>
      </c>
      <c r="I121" s="38">
        <f t="shared" si="139"/>
        <v>0</v>
      </c>
      <c r="J121" s="38">
        <f t="shared" si="139"/>
        <v>0</v>
      </c>
      <c r="K121" s="38">
        <f t="shared" si="139"/>
        <v>0</v>
      </c>
      <c r="L121" s="38">
        <f t="shared" si="139"/>
        <v>42698</v>
      </c>
      <c r="M121" s="38">
        <f t="shared" si="139"/>
        <v>42168</v>
      </c>
      <c r="N121" s="38">
        <f t="shared" si="139"/>
        <v>40356.142</v>
      </c>
      <c r="O121" s="38">
        <f t="shared" si="139"/>
        <v>40356.142</v>
      </c>
      <c r="P121" s="38">
        <f t="shared" si="139"/>
        <v>19266.909511000002</v>
      </c>
      <c r="Q121" s="38">
        <f t="shared" si="139"/>
        <v>15654.909511000002</v>
      </c>
      <c r="R121" s="38">
        <f t="shared" si="139"/>
        <v>0</v>
      </c>
      <c r="S121" s="38">
        <f t="shared" si="139"/>
        <v>0</v>
      </c>
      <c r="T121" s="38">
        <f t="shared" si="139"/>
        <v>20934.909510999998</v>
      </c>
      <c r="U121" s="38">
        <f t="shared" si="139"/>
        <v>20934.909510999998</v>
      </c>
      <c r="V121" s="38">
        <f t="shared" si="139"/>
        <v>0</v>
      </c>
      <c r="W121" s="38">
        <f t="shared" si="139"/>
        <v>0</v>
      </c>
      <c r="X121" s="38">
        <f t="shared" si="139"/>
        <v>18748</v>
      </c>
      <c r="Y121" s="38">
        <f t="shared" si="139"/>
        <v>15136</v>
      </c>
      <c r="Z121" s="38">
        <f t="shared" si="139"/>
        <v>0</v>
      </c>
      <c r="AA121" s="38">
        <f t="shared" si="139"/>
        <v>0</v>
      </c>
      <c r="AB121" s="38">
        <f t="shared" si="139"/>
        <v>0</v>
      </c>
      <c r="AC121" s="38">
        <f t="shared" si="139"/>
        <v>0</v>
      </c>
      <c r="AD121" s="38">
        <f t="shared" si="139"/>
        <v>15272</v>
      </c>
      <c r="AE121" s="38">
        <f t="shared" si="139"/>
        <v>15272</v>
      </c>
      <c r="AF121" s="38">
        <f t="shared" si="139"/>
        <v>0</v>
      </c>
      <c r="AG121" s="38">
        <f t="shared" si="139"/>
        <v>0</v>
      </c>
      <c r="AH121" s="38">
        <f t="shared" si="139"/>
        <v>0</v>
      </c>
      <c r="AI121" s="38">
        <f t="shared" si="139"/>
        <v>0</v>
      </c>
      <c r="AJ121" s="38">
        <f t="shared" si="139"/>
        <v>0</v>
      </c>
      <c r="AK121" s="38">
        <f>AK122+AK136</f>
        <v>2.1150000000000002</v>
      </c>
      <c r="AL121" s="38">
        <f>AL122+AL136</f>
        <v>1.9409999999999792</v>
      </c>
      <c r="AM121" s="38">
        <f t="shared" si="139"/>
        <v>18748.173999999999</v>
      </c>
      <c r="AN121" s="38">
        <f>AN122+AN136</f>
        <v>15136.174000000001</v>
      </c>
      <c r="AO121" s="38">
        <f t="shared" ref="AO121:AS121" si="140">AO122+AO136</f>
        <v>0</v>
      </c>
      <c r="AP121" s="38">
        <f t="shared" si="140"/>
        <v>0</v>
      </c>
      <c r="AQ121" s="38">
        <f t="shared" si="140"/>
        <v>0</v>
      </c>
      <c r="AR121" s="38">
        <f t="shared" si="140"/>
        <v>382</v>
      </c>
      <c r="AS121" s="38">
        <f t="shared" si="140"/>
        <v>14754.18</v>
      </c>
      <c r="AT121" s="38">
        <f>AT122+AT136</f>
        <v>14754.18</v>
      </c>
      <c r="AU121" s="37"/>
      <c r="AV121" s="37"/>
      <c r="AW121" s="141"/>
      <c r="AX121" s="79"/>
      <c r="AY121" s="14" t="s">
        <v>98</v>
      </c>
      <c r="AZ121" s="13"/>
      <c r="BA121" s="13"/>
    </row>
    <row r="122" spans="1:54" s="144" customFormat="1" ht="31.5" x14ac:dyDescent="0.25">
      <c r="A122" s="167" t="s">
        <v>108</v>
      </c>
      <c r="B122" s="241" t="s">
        <v>570</v>
      </c>
      <c r="C122" s="142"/>
      <c r="D122" s="167"/>
      <c r="E122" s="167"/>
      <c r="F122" s="142"/>
      <c r="G122" s="101">
        <f t="shared" ref="G122:AT122" si="141">SUM(G123:G135)</f>
        <v>40042.381000000001</v>
      </c>
      <c r="H122" s="101">
        <f t="shared" si="141"/>
        <v>40042.381000000001</v>
      </c>
      <c r="I122" s="101">
        <f t="shared" si="141"/>
        <v>0</v>
      </c>
      <c r="J122" s="101">
        <f t="shared" si="141"/>
        <v>0</v>
      </c>
      <c r="K122" s="101">
        <f t="shared" si="141"/>
        <v>0</v>
      </c>
      <c r="L122" s="101">
        <f t="shared" si="141"/>
        <v>31480</v>
      </c>
      <c r="M122" s="101">
        <f t="shared" si="141"/>
        <v>31480</v>
      </c>
      <c r="N122" s="101">
        <f t="shared" si="141"/>
        <v>31480</v>
      </c>
      <c r="O122" s="101">
        <f t="shared" si="141"/>
        <v>31480</v>
      </c>
      <c r="P122" s="101">
        <f t="shared" si="141"/>
        <v>3973.1270000000013</v>
      </c>
      <c r="Q122" s="101">
        <f t="shared" si="141"/>
        <v>3973.1270000000013</v>
      </c>
      <c r="R122" s="101">
        <f t="shared" si="141"/>
        <v>0</v>
      </c>
      <c r="S122" s="101">
        <f t="shared" si="141"/>
        <v>0</v>
      </c>
      <c r="T122" s="101">
        <f t="shared" si="141"/>
        <v>3973.1270000000013</v>
      </c>
      <c r="U122" s="101">
        <f>SUM(U123:U135)</f>
        <v>3973.1270000000013</v>
      </c>
      <c r="V122" s="101">
        <f t="shared" si="141"/>
        <v>0</v>
      </c>
      <c r="W122" s="101">
        <f t="shared" si="141"/>
        <v>0</v>
      </c>
      <c r="X122" s="101">
        <f t="shared" si="141"/>
        <v>4346</v>
      </c>
      <c r="Y122" s="101">
        <f t="shared" si="141"/>
        <v>4346</v>
      </c>
      <c r="Z122" s="101">
        <f t="shared" si="141"/>
        <v>0</v>
      </c>
      <c r="AA122" s="101">
        <f t="shared" si="141"/>
        <v>0</v>
      </c>
      <c r="AB122" s="101">
        <f t="shared" si="141"/>
        <v>0</v>
      </c>
      <c r="AC122" s="101">
        <f t="shared" si="141"/>
        <v>0</v>
      </c>
      <c r="AD122" s="101">
        <f t="shared" si="141"/>
        <v>3972</v>
      </c>
      <c r="AE122" s="101">
        <f t="shared" si="141"/>
        <v>3972</v>
      </c>
      <c r="AF122" s="101">
        <f t="shared" si="141"/>
        <v>0</v>
      </c>
      <c r="AG122" s="101">
        <f t="shared" si="141"/>
        <v>0</v>
      </c>
      <c r="AH122" s="101">
        <f t="shared" si="141"/>
        <v>0</v>
      </c>
      <c r="AI122" s="101">
        <f t="shared" si="141"/>
        <v>0</v>
      </c>
      <c r="AJ122" s="101">
        <f t="shared" si="141"/>
        <v>0</v>
      </c>
      <c r="AK122" s="101">
        <f t="shared" si="141"/>
        <v>1.554</v>
      </c>
      <c r="AL122" s="101">
        <f t="shared" si="141"/>
        <v>1.3729999999999956</v>
      </c>
      <c r="AM122" s="101">
        <f t="shared" si="141"/>
        <v>4346.1810000000005</v>
      </c>
      <c r="AN122" s="101">
        <f t="shared" si="141"/>
        <v>4346.1810000000005</v>
      </c>
      <c r="AO122" s="101">
        <f t="shared" si="141"/>
        <v>0</v>
      </c>
      <c r="AP122" s="101">
        <f t="shared" si="141"/>
        <v>0</v>
      </c>
      <c r="AQ122" s="101">
        <f t="shared" si="141"/>
        <v>0</v>
      </c>
      <c r="AR122" s="101">
        <f t="shared" si="141"/>
        <v>0</v>
      </c>
      <c r="AS122" s="101">
        <f t="shared" si="141"/>
        <v>4346.1869999999999</v>
      </c>
      <c r="AT122" s="101">
        <f t="shared" si="141"/>
        <v>4346.1869999999999</v>
      </c>
      <c r="AU122" s="171"/>
      <c r="AV122" s="171"/>
      <c r="AW122" s="143"/>
      <c r="AX122" s="174"/>
      <c r="AZ122" s="208"/>
      <c r="BA122" s="208"/>
    </row>
    <row r="123" spans="1:54" s="14" customFormat="1" ht="54" customHeight="1" x14ac:dyDescent="0.25">
      <c r="A123" s="6">
        <v>1</v>
      </c>
      <c r="B123" s="189" t="s">
        <v>283</v>
      </c>
      <c r="C123" s="57"/>
      <c r="D123" s="6" t="s">
        <v>284</v>
      </c>
      <c r="E123" s="242" t="s">
        <v>285</v>
      </c>
      <c r="F123" s="6" t="s">
        <v>286</v>
      </c>
      <c r="G123" s="17">
        <v>5000</v>
      </c>
      <c r="H123" s="17">
        <v>5000</v>
      </c>
      <c r="I123" s="17"/>
      <c r="J123" s="17"/>
      <c r="K123" s="17"/>
      <c r="L123" s="17">
        <v>3800</v>
      </c>
      <c r="M123" s="17">
        <v>3800</v>
      </c>
      <c r="N123" s="17">
        <v>3800</v>
      </c>
      <c r="O123" s="17">
        <f>N123</f>
        <v>3800</v>
      </c>
      <c r="P123" s="17">
        <v>795.202</v>
      </c>
      <c r="Q123" s="17">
        <v>795.20200000000023</v>
      </c>
      <c r="R123" s="17"/>
      <c r="S123" s="17"/>
      <c r="T123" s="17">
        <v>795.20200000000023</v>
      </c>
      <c r="U123" s="17">
        <v>795.20200000000023</v>
      </c>
      <c r="V123" s="17"/>
      <c r="W123" s="17"/>
      <c r="X123" s="17">
        <f>Y123</f>
        <v>795</v>
      </c>
      <c r="Y123" s="17">
        <v>795</v>
      </c>
      <c r="Z123" s="17"/>
      <c r="AA123" s="17"/>
      <c r="AB123" s="17"/>
      <c r="AC123" s="17"/>
      <c r="AD123" s="17">
        <f>AE123</f>
        <v>795</v>
      </c>
      <c r="AE123" s="17">
        <v>795</v>
      </c>
      <c r="AF123" s="17"/>
      <c r="AG123" s="17"/>
      <c r="AH123" s="17">
        <v>0</v>
      </c>
      <c r="AI123" s="17">
        <v>0</v>
      </c>
      <c r="AJ123" s="17"/>
      <c r="AK123" s="17">
        <v>0.20200000000000001</v>
      </c>
      <c r="AL123" s="17"/>
      <c r="AM123" s="17">
        <v>795.20200000000023</v>
      </c>
      <c r="AN123" s="17">
        <v>795.20200000000023</v>
      </c>
      <c r="AO123" s="17"/>
      <c r="AP123" s="17"/>
      <c r="AQ123" s="17"/>
      <c r="AR123" s="17"/>
      <c r="AS123" s="17">
        <f>AT123</f>
        <v>795.2</v>
      </c>
      <c r="AT123" s="17">
        <v>795.2</v>
      </c>
      <c r="AU123" s="17"/>
      <c r="AV123" s="17"/>
      <c r="AW123" s="10"/>
      <c r="AX123" s="11"/>
      <c r="AZ123" s="13"/>
      <c r="BA123" s="13">
        <v>1</v>
      </c>
    </row>
    <row r="124" spans="1:54" s="14" customFormat="1" ht="57.75" customHeight="1" x14ac:dyDescent="0.25">
      <c r="A124" s="6">
        <v>2</v>
      </c>
      <c r="B124" s="189" t="s">
        <v>287</v>
      </c>
      <c r="C124" s="57"/>
      <c r="D124" s="6" t="s">
        <v>288</v>
      </c>
      <c r="E124" s="242" t="s">
        <v>285</v>
      </c>
      <c r="F124" s="6" t="s">
        <v>289</v>
      </c>
      <c r="G124" s="17">
        <v>4534.3010000000004</v>
      </c>
      <c r="H124" s="17">
        <v>4534.3010000000004</v>
      </c>
      <c r="I124" s="17"/>
      <c r="J124" s="17"/>
      <c r="K124" s="17"/>
      <c r="L124" s="17">
        <v>3400</v>
      </c>
      <c r="M124" s="17">
        <v>3400</v>
      </c>
      <c r="N124" s="17">
        <v>3400</v>
      </c>
      <c r="O124" s="17">
        <f t="shared" ref="O124:O135" si="142">N124</f>
        <v>3400</v>
      </c>
      <c r="P124" s="17">
        <v>990.29100000000017</v>
      </c>
      <c r="Q124" s="17">
        <v>990.29100000000017</v>
      </c>
      <c r="R124" s="17"/>
      <c r="S124" s="17"/>
      <c r="T124" s="17">
        <v>990.29100000000017</v>
      </c>
      <c r="U124" s="17">
        <v>990.29100000000017</v>
      </c>
      <c r="V124" s="17"/>
      <c r="W124" s="17"/>
      <c r="X124" s="17">
        <f t="shared" ref="X124:X135" si="143">Y124</f>
        <v>1025</v>
      </c>
      <c r="Y124" s="17">
        <v>1025</v>
      </c>
      <c r="Z124" s="17"/>
      <c r="AA124" s="17"/>
      <c r="AB124" s="17"/>
      <c r="AC124" s="17"/>
      <c r="AD124" s="17">
        <f t="shared" ref="AD124:AD135" si="144">AE124</f>
        <v>990</v>
      </c>
      <c r="AE124" s="17">
        <v>990</v>
      </c>
      <c r="AF124" s="17"/>
      <c r="AG124" s="17"/>
      <c r="AH124" s="17">
        <v>0</v>
      </c>
      <c r="AI124" s="17">
        <v>0</v>
      </c>
      <c r="AJ124" s="17"/>
      <c r="AK124" s="17"/>
      <c r="AL124" s="17">
        <f>Y124-AN124</f>
        <v>2.8000000000020009E-2</v>
      </c>
      <c r="AM124" s="17">
        <v>1024.972</v>
      </c>
      <c r="AN124" s="17">
        <v>1024.972</v>
      </c>
      <c r="AO124" s="17"/>
      <c r="AP124" s="17"/>
      <c r="AQ124" s="17"/>
      <c r="AR124" s="17"/>
      <c r="AS124" s="17">
        <f t="shared" ref="AS124:AS141" si="145">AT124</f>
        <v>1024.972</v>
      </c>
      <c r="AT124" s="17">
        <v>1024.972</v>
      </c>
      <c r="AU124" s="17"/>
      <c r="AV124" s="17"/>
      <c r="AW124" s="10"/>
      <c r="AX124" s="11"/>
      <c r="AZ124" s="13">
        <v>1</v>
      </c>
      <c r="BA124" s="13"/>
    </row>
    <row r="125" spans="1:54" s="14" customFormat="1" ht="63" x14ac:dyDescent="0.25">
      <c r="A125" s="6">
        <v>3</v>
      </c>
      <c r="B125" s="189" t="s">
        <v>290</v>
      </c>
      <c r="C125" s="57"/>
      <c r="D125" s="6" t="s">
        <v>291</v>
      </c>
      <c r="E125" s="242" t="s">
        <v>285</v>
      </c>
      <c r="F125" s="6" t="s">
        <v>292</v>
      </c>
      <c r="G125" s="17">
        <v>4217.8</v>
      </c>
      <c r="H125" s="17">
        <v>4217.8</v>
      </c>
      <c r="I125" s="17"/>
      <c r="J125" s="17"/>
      <c r="K125" s="17"/>
      <c r="L125" s="17">
        <v>3200</v>
      </c>
      <c r="M125" s="17">
        <v>3200</v>
      </c>
      <c r="N125" s="17">
        <v>3200</v>
      </c>
      <c r="O125" s="17">
        <f t="shared" si="142"/>
        <v>3200</v>
      </c>
      <c r="P125" s="17">
        <v>350.25500000000011</v>
      </c>
      <c r="Q125" s="17">
        <v>350.25500000000011</v>
      </c>
      <c r="R125" s="17"/>
      <c r="S125" s="17"/>
      <c r="T125" s="17">
        <v>350.25500000000011</v>
      </c>
      <c r="U125" s="17">
        <v>350.25500000000011</v>
      </c>
      <c r="V125" s="17"/>
      <c r="W125" s="17"/>
      <c r="X125" s="17">
        <f t="shared" si="143"/>
        <v>714</v>
      </c>
      <c r="Y125" s="17">
        <v>714</v>
      </c>
      <c r="Z125" s="17"/>
      <c r="AA125" s="17"/>
      <c r="AB125" s="17"/>
      <c r="AC125" s="17"/>
      <c r="AD125" s="17">
        <f t="shared" si="144"/>
        <v>350</v>
      </c>
      <c r="AE125" s="17">
        <v>350</v>
      </c>
      <c r="AF125" s="17"/>
      <c r="AG125" s="17"/>
      <c r="AH125" s="17">
        <v>0</v>
      </c>
      <c r="AI125" s="17">
        <v>0</v>
      </c>
      <c r="AJ125" s="17"/>
      <c r="AK125" s="17">
        <v>0.159</v>
      </c>
      <c r="AL125" s="17"/>
      <c r="AM125" s="17">
        <v>714.15899999999999</v>
      </c>
      <c r="AN125" s="17">
        <v>714.15899999999999</v>
      </c>
      <c r="AO125" s="17"/>
      <c r="AP125" s="17"/>
      <c r="AQ125" s="17"/>
      <c r="AR125" s="17"/>
      <c r="AS125" s="17">
        <f t="shared" si="145"/>
        <v>714.15899999999999</v>
      </c>
      <c r="AT125" s="17">
        <v>714.15899999999999</v>
      </c>
      <c r="AU125" s="17"/>
      <c r="AV125" s="17"/>
      <c r="AW125" s="10"/>
      <c r="AX125" s="11"/>
      <c r="AZ125" s="13"/>
      <c r="BA125" s="13">
        <v>1</v>
      </c>
    </row>
    <row r="126" spans="1:54" s="14" customFormat="1" ht="51" customHeight="1" x14ac:dyDescent="0.25">
      <c r="A126" s="6">
        <v>4</v>
      </c>
      <c r="B126" s="189" t="s">
        <v>293</v>
      </c>
      <c r="C126" s="57"/>
      <c r="D126" s="6" t="s">
        <v>294</v>
      </c>
      <c r="E126" s="242" t="s">
        <v>285</v>
      </c>
      <c r="F126" s="6" t="s">
        <v>295</v>
      </c>
      <c r="G126" s="17">
        <v>3361.4279999999999</v>
      </c>
      <c r="H126" s="17">
        <v>3361.4279999999999</v>
      </c>
      <c r="I126" s="17"/>
      <c r="J126" s="17"/>
      <c r="K126" s="17"/>
      <c r="L126" s="17">
        <v>2530</v>
      </c>
      <c r="M126" s="17">
        <v>2530</v>
      </c>
      <c r="N126" s="17">
        <v>2530</v>
      </c>
      <c r="O126" s="17">
        <f t="shared" si="142"/>
        <v>2530</v>
      </c>
      <c r="P126" s="17">
        <v>380.16499999999996</v>
      </c>
      <c r="Q126" s="17">
        <v>380.16499999999996</v>
      </c>
      <c r="R126" s="17"/>
      <c r="S126" s="17"/>
      <c r="T126" s="17">
        <v>380.16499999999996</v>
      </c>
      <c r="U126" s="17">
        <v>380.16499999999996</v>
      </c>
      <c r="V126" s="17"/>
      <c r="W126" s="17"/>
      <c r="X126" s="17">
        <f t="shared" si="143"/>
        <v>380</v>
      </c>
      <c r="Y126" s="17">
        <v>380</v>
      </c>
      <c r="Z126" s="17"/>
      <c r="AA126" s="17"/>
      <c r="AB126" s="17"/>
      <c r="AC126" s="17"/>
      <c r="AD126" s="17">
        <f t="shared" si="144"/>
        <v>380</v>
      </c>
      <c r="AE126" s="17">
        <v>380</v>
      </c>
      <c r="AF126" s="17"/>
      <c r="AG126" s="17"/>
      <c r="AH126" s="17">
        <v>0</v>
      </c>
      <c r="AI126" s="17">
        <v>0</v>
      </c>
      <c r="AJ126" s="17"/>
      <c r="AK126" s="17">
        <v>0.16500000000000001</v>
      </c>
      <c r="AL126" s="17"/>
      <c r="AM126" s="17">
        <v>380.16499999999996</v>
      </c>
      <c r="AN126" s="17">
        <v>380.16499999999996</v>
      </c>
      <c r="AO126" s="17"/>
      <c r="AP126" s="17"/>
      <c r="AQ126" s="17"/>
      <c r="AR126" s="17"/>
      <c r="AS126" s="17">
        <f t="shared" si="145"/>
        <v>380.16499999999996</v>
      </c>
      <c r="AT126" s="17">
        <v>380.16499999999996</v>
      </c>
      <c r="AU126" s="17"/>
      <c r="AV126" s="17"/>
      <c r="AW126" s="10"/>
      <c r="AX126" s="11"/>
      <c r="AZ126" s="13"/>
      <c r="BA126" s="13">
        <v>1</v>
      </c>
    </row>
    <row r="127" spans="1:54" s="14" customFormat="1" ht="51" customHeight="1" x14ac:dyDescent="0.25">
      <c r="A127" s="6">
        <v>5</v>
      </c>
      <c r="B127" s="189" t="s">
        <v>296</v>
      </c>
      <c r="C127" s="57"/>
      <c r="D127" s="6" t="s">
        <v>297</v>
      </c>
      <c r="E127" s="242" t="s">
        <v>285</v>
      </c>
      <c r="F127" s="6" t="s">
        <v>298</v>
      </c>
      <c r="G127" s="17">
        <v>2848.2379999999998</v>
      </c>
      <c r="H127" s="17">
        <v>2848.2379999999998</v>
      </c>
      <c r="I127" s="17"/>
      <c r="J127" s="17"/>
      <c r="K127" s="17"/>
      <c r="L127" s="17">
        <v>2200</v>
      </c>
      <c r="M127" s="17">
        <v>2200</v>
      </c>
      <c r="N127" s="17">
        <v>2200</v>
      </c>
      <c r="O127" s="17">
        <f t="shared" si="142"/>
        <v>2200</v>
      </c>
      <c r="P127" s="17">
        <v>343.05400000000009</v>
      </c>
      <c r="Q127" s="17">
        <v>343.05400000000009</v>
      </c>
      <c r="R127" s="17"/>
      <c r="S127" s="17"/>
      <c r="T127" s="17">
        <v>343.05400000000009</v>
      </c>
      <c r="U127" s="17">
        <v>343.05400000000009</v>
      </c>
      <c r="V127" s="17"/>
      <c r="W127" s="17"/>
      <c r="X127" s="17">
        <f t="shared" si="143"/>
        <v>324</v>
      </c>
      <c r="Y127" s="17">
        <v>324</v>
      </c>
      <c r="Z127" s="17"/>
      <c r="AA127" s="17"/>
      <c r="AB127" s="17"/>
      <c r="AC127" s="17"/>
      <c r="AD127" s="17">
        <f t="shared" si="144"/>
        <v>343</v>
      </c>
      <c r="AE127" s="17">
        <v>343</v>
      </c>
      <c r="AF127" s="17"/>
      <c r="AG127" s="17"/>
      <c r="AH127" s="17">
        <v>0</v>
      </c>
      <c r="AI127" s="17">
        <v>0</v>
      </c>
      <c r="AJ127" s="17"/>
      <c r="AK127" s="17"/>
      <c r="AL127" s="17">
        <f>Y127-AN127</f>
        <v>0.47699999999997544</v>
      </c>
      <c r="AM127" s="17">
        <v>323.52300000000002</v>
      </c>
      <c r="AN127" s="17">
        <v>323.52300000000002</v>
      </c>
      <c r="AO127" s="17"/>
      <c r="AP127" s="17"/>
      <c r="AQ127" s="17"/>
      <c r="AR127" s="17"/>
      <c r="AS127" s="17">
        <f t="shared" si="145"/>
        <v>323.52300000000002</v>
      </c>
      <c r="AT127" s="17">
        <v>323.52300000000002</v>
      </c>
      <c r="AU127" s="17"/>
      <c r="AV127" s="17"/>
      <c r="AW127" s="10"/>
      <c r="AX127" s="11"/>
      <c r="AZ127" s="13">
        <v>1</v>
      </c>
      <c r="BA127" s="13"/>
    </row>
    <row r="128" spans="1:54" s="14" customFormat="1" ht="57" customHeight="1" x14ac:dyDescent="0.25">
      <c r="A128" s="6">
        <v>6</v>
      </c>
      <c r="B128" s="189" t="s">
        <v>299</v>
      </c>
      <c r="C128" s="57"/>
      <c r="D128" s="6" t="s">
        <v>300</v>
      </c>
      <c r="E128" s="242" t="s">
        <v>285</v>
      </c>
      <c r="F128" s="6" t="s">
        <v>301</v>
      </c>
      <c r="G128" s="17">
        <v>2700</v>
      </c>
      <c r="H128" s="17">
        <v>2700</v>
      </c>
      <c r="I128" s="17"/>
      <c r="J128" s="17"/>
      <c r="K128" s="17"/>
      <c r="L128" s="17">
        <v>2050</v>
      </c>
      <c r="M128" s="17">
        <v>2050</v>
      </c>
      <c r="N128" s="17">
        <v>2050</v>
      </c>
      <c r="O128" s="17">
        <f t="shared" si="142"/>
        <v>2050</v>
      </c>
      <c r="P128" s="17">
        <v>293.36799999999994</v>
      </c>
      <c r="Q128" s="17">
        <v>293.36799999999994</v>
      </c>
      <c r="R128" s="17"/>
      <c r="S128" s="17"/>
      <c r="T128" s="17">
        <v>293.36799999999994</v>
      </c>
      <c r="U128" s="17">
        <v>293.36799999999994</v>
      </c>
      <c r="V128" s="17"/>
      <c r="W128" s="17"/>
      <c r="X128" s="17">
        <f t="shared" si="143"/>
        <v>293</v>
      </c>
      <c r="Y128" s="17">
        <v>293</v>
      </c>
      <c r="Z128" s="17"/>
      <c r="AA128" s="17"/>
      <c r="AB128" s="17"/>
      <c r="AC128" s="17"/>
      <c r="AD128" s="17">
        <f t="shared" si="144"/>
        <v>293</v>
      </c>
      <c r="AE128" s="17">
        <v>293</v>
      </c>
      <c r="AF128" s="17"/>
      <c r="AG128" s="17"/>
      <c r="AH128" s="17">
        <v>0</v>
      </c>
      <c r="AI128" s="17">
        <v>0</v>
      </c>
      <c r="AJ128" s="17"/>
      <c r="AK128" s="17">
        <v>0.36799999999999999</v>
      </c>
      <c r="AL128" s="17"/>
      <c r="AM128" s="17">
        <v>293.36799999999994</v>
      </c>
      <c r="AN128" s="17">
        <v>293.36799999999994</v>
      </c>
      <c r="AO128" s="17"/>
      <c r="AP128" s="17"/>
      <c r="AQ128" s="17"/>
      <c r="AR128" s="17"/>
      <c r="AS128" s="17">
        <f t="shared" si="145"/>
        <v>293.36799999999999</v>
      </c>
      <c r="AT128" s="17">
        <v>293.36799999999999</v>
      </c>
      <c r="AU128" s="17"/>
      <c r="AV128" s="17"/>
      <c r="AW128" s="10"/>
      <c r="AX128" s="11"/>
      <c r="AZ128" s="13"/>
      <c r="BA128" s="13">
        <v>1</v>
      </c>
    </row>
    <row r="129" spans="1:55" s="14" customFormat="1" ht="82.5" customHeight="1" x14ac:dyDescent="0.25">
      <c r="A129" s="6">
        <v>7</v>
      </c>
      <c r="B129" s="189" t="s">
        <v>302</v>
      </c>
      <c r="C129" s="57"/>
      <c r="D129" s="6" t="s">
        <v>303</v>
      </c>
      <c r="E129" s="242" t="s">
        <v>304</v>
      </c>
      <c r="F129" s="6" t="s">
        <v>305</v>
      </c>
      <c r="G129" s="17">
        <v>2600</v>
      </c>
      <c r="H129" s="17">
        <v>2600</v>
      </c>
      <c r="I129" s="17"/>
      <c r="J129" s="17"/>
      <c r="K129" s="17"/>
      <c r="L129" s="17">
        <v>2100</v>
      </c>
      <c r="M129" s="17">
        <v>2100</v>
      </c>
      <c r="N129" s="17">
        <v>2100</v>
      </c>
      <c r="O129" s="17">
        <f t="shared" si="142"/>
        <v>2100</v>
      </c>
      <c r="P129" s="17">
        <v>199.50900000000001</v>
      </c>
      <c r="Q129" s="17">
        <v>199.50900000000001</v>
      </c>
      <c r="R129" s="17"/>
      <c r="S129" s="17"/>
      <c r="T129" s="17">
        <v>199.50900000000001</v>
      </c>
      <c r="U129" s="17">
        <v>199.50900000000001</v>
      </c>
      <c r="V129" s="17"/>
      <c r="W129" s="17"/>
      <c r="X129" s="17">
        <f t="shared" si="143"/>
        <v>200</v>
      </c>
      <c r="Y129" s="17">
        <v>200</v>
      </c>
      <c r="Z129" s="17"/>
      <c r="AA129" s="17"/>
      <c r="AB129" s="17"/>
      <c r="AC129" s="17"/>
      <c r="AD129" s="17">
        <f t="shared" si="144"/>
        <v>200</v>
      </c>
      <c r="AE129" s="17">
        <v>200</v>
      </c>
      <c r="AF129" s="17"/>
      <c r="AG129" s="17"/>
      <c r="AH129" s="17">
        <v>0</v>
      </c>
      <c r="AI129" s="17">
        <v>0</v>
      </c>
      <c r="AJ129" s="17"/>
      <c r="AK129" s="17"/>
      <c r="AL129" s="17">
        <v>0.49099999999999999</v>
      </c>
      <c r="AM129" s="17">
        <v>199.50900000000001</v>
      </c>
      <c r="AN129" s="17">
        <v>199.50900000000001</v>
      </c>
      <c r="AO129" s="17"/>
      <c r="AP129" s="17"/>
      <c r="AQ129" s="17"/>
      <c r="AR129" s="17"/>
      <c r="AS129" s="17">
        <f t="shared" si="145"/>
        <v>199.5</v>
      </c>
      <c r="AT129" s="17">
        <v>199.5</v>
      </c>
      <c r="AU129" s="17"/>
      <c r="AV129" s="17"/>
      <c r="AW129" s="10"/>
      <c r="AX129" s="11"/>
      <c r="AZ129" s="13">
        <v>1</v>
      </c>
      <c r="BA129" s="13"/>
    </row>
    <row r="130" spans="1:55" s="14" customFormat="1" ht="52.5" customHeight="1" x14ac:dyDescent="0.25">
      <c r="A130" s="6">
        <v>8</v>
      </c>
      <c r="B130" s="189" t="s">
        <v>306</v>
      </c>
      <c r="C130" s="57"/>
      <c r="D130" s="6" t="s">
        <v>307</v>
      </c>
      <c r="E130" s="242" t="s">
        <v>304</v>
      </c>
      <c r="F130" s="6" t="s">
        <v>308</v>
      </c>
      <c r="G130" s="17">
        <v>3300</v>
      </c>
      <c r="H130" s="17">
        <v>3300</v>
      </c>
      <c r="I130" s="17"/>
      <c r="J130" s="17"/>
      <c r="K130" s="17"/>
      <c r="L130" s="17">
        <v>2600</v>
      </c>
      <c r="M130" s="17">
        <v>2600</v>
      </c>
      <c r="N130" s="17">
        <v>2600</v>
      </c>
      <c r="O130" s="17">
        <f t="shared" si="142"/>
        <v>2600</v>
      </c>
      <c r="P130" s="17">
        <v>218.69900000000007</v>
      </c>
      <c r="Q130" s="17">
        <v>218.69900000000007</v>
      </c>
      <c r="R130" s="17"/>
      <c r="S130" s="17"/>
      <c r="T130" s="17">
        <v>218.69900000000007</v>
      </c>
      <c r="U130" s="17">
        <v>218.69900000000007</v>
      </c>
      <c r="V130" s="17"/>
      <c r="W130" s="17"/>
      <c r="X130" s="17">
        <f t="shared" si="143"/>
        <v>219</v>
      </c>
      <c r="Y130" s="17">
        <v>219</v>
      </c>
      <c r="Z130" s="17"/>
      <c r="AA130" s="17"/>
      <c r="AB130" s="17"/>
      <c r="AC130" s="17"/>
      <c r="AD130" s="17">
        <f t="shared" si="144"/>
        <v>219</v>
      </c>
      <c r="AE130" s="17">
        <v>219</v>
      </c>
      <c r="AF130" s="17"/>
      <c r="AG130" s="17"/>
      <c r="AH130" s="17">
        <v>0</v>
      </c>
      <c r="AI130" s="17">
        <v>0</v>
      </c>
      <c r="AJ130" s="17"/>
      <c r="AK130" s="17"/>
      <c r="AL130" s="17">
        <v>0.30099999999999999</v>
      </c>
      <c r="AM130" s="17">
        <v>218.69900000000007</v>
      </c>
      <c r="AN130" s="17">
        <v>218.69900000000007</v>
      </c>
      <c r="AO130" s="17"/>
      <c r="AP130" s="17"/>
      <c r="AQ130" s="17"/>
      <c r="AR130" s="17"/>
      <c r="AS130" s="17">
        <f t="shared" si="145"/>
        <v>218.7</v>
      </c>
      <c r="AT130" s="17">
        <v>218.7</v>
      </c>
      <c r="AU130" s="17"/>
      <c r="AV130" s="17"/>
      <c r="AW130" s="10"/>
      <c r="AX130" s="11"/>
      <c r="AZ130" s="13">
        <v>1</v>
      </c>
      <c r="BA130" s="13"/>
    </row>
    <row r="131" spans="1:55" s="14" customFormat="1" ht="63" x14ac:dyDescent="0.25">
      <c r="A131" s="6">
        <v>9</v>
      </c>
      <c r="B131" s="189" t="s">
        <v>309</v>
      </c>
      <c r="C131" s="57"/>
      <c r="D131" s="6" t="s">
        <v>310</v>
      </c>
      <c r="E131" s="242" t="s">
        <v>285</v>
      </c>
      <c r="F131" s="6" t="s">
        <v>311</v>
      </c>
      <c r="G131" s="17">
        <v>3266.953</v>
      </c>
      <c r="H131" s="17">
        <v>3266.953</v>
      </c>
      <c r="I131" s="17"/>
      <c r="J131" s="17"/>
      <c r="K131" s="17"/>
      <c r="L131" s="17">
        <v>3100</v>
      </c>
      <c r="M131" s="17">
        <v>3100</v>
      </c>
      <c r="N131" s="17">
        <v>3100</v>
      </c>
      <c r="O131" s="17">
        <f t="shared" si="142"/>
        <v>3100</v>
      </c>
      <c r="P131" s="17">
        <v>15.186000000000149</v>
      </c>
      <c r="Q131" s="17">
        <v>15.186000000000149</v>
      </c>
      <c r="R131" s="17"/>
      <c r="S131" s="17"/>
      <c r="T131" s="17">
        <v>15.186000000000149</v>
      </c>
      <c r="U131" s="17">
        <v>15.186000000000149</v>
      </c>
      <c r="V131" s="17"/>
      <c r="W131" s="17"/>
      <c r="X131" s="17">
        <f t="shared" si="143"/>
        <v>15</v>
      </c>
      <c r="Y131" s="17">
        <v>15</v>
      </c>
      <c r="Z131" s="17"/>
      <c r="AA131" s="17"/>
      <c r="AB131" s="17"/>
      <c r="AC131" s="17"/>
      <c r="AD131" s="17">
        <f t="shared" si="144"/>
        <v>15</v>
      </c>
      <c r="AE131" s="17">
        <v>15</v>
      </c>
      <c r="AF131" s="17"/>
      <c r="AG131" s="17"/>
      <c r="AH131" s="17">
        <v>0</v>
      </c>
      <c r="AI131" s="17">
        <v>0</v>
      </c>
      <c r="AJ131" s="17"/>
      <c r="AK131" s="17">
        <v>0.186</v>
      </c>
      <c r="AL131" s="17"/>
      <c r="AM131" s="17">
        <v>15.186000000000149</v>
      </c>
      <c r="AN131" s="17">
        <v>15.186000000000149</v>
      </c>
      <c r="AO131" s="17"/>
      <c r="AP131" s="17"/>
      <c r="AQ131" s="17"/>
      <c r="AR131" s="17"/>
      <c r="AS131" s="17">
        <f t="shared" si="145"/>
        <v>15.2</v>
      </c>
      <c r="AT131" s="17">
        <v>15.2</v>
      </c>
      <c r="AU131" s="17"/>
      <c r="AV131" s="17"/>
      <c r="AW131" s="10"/>
      <c r="AX131" s="11"/>
      <c r="AZ131" s="13"/>
      <c r="BA131" s="13">
        <v>1</v>
      </c>
    </row>
    <row r="132" spans="1:55" s="14" customFormat="1" ht="47.25" x14ac:dyDescent="0.25">
      <c r="A132" s="6">
        <v>10</v>
      </c>
      <c r="B132" s="189" t="s">
        <v>312</v>
      </c>
      <c r="C132" s="57"/>
      <c r="D132" s="6" t="s">
        <v>313</v>
      </c>
      <c r="E132" s="242" t="s">
        <v>304</v>
      </c>
      <c r="F132" s="6" t="s">
        <v>305</v>
      </c>
      <c r="G132" s="17">
        <v>2300</v>
      </c>
      <c r="H132" s="17">
        <v>2300</v>
      </c>
      <c r="I132" s="17"/>
      <c r="J132" s="17"/>
      <c r="K132" s="17"/>
      <c r="L132" s="17">
        <v>1800</v>
      </c>
      <c r="M132" s="17">
        <v>1800</v>
      </c>
      <c r="N132" s="17">
        <v>1800</v>
      </c>
      <c r="O132" s="17">
        <f t="shared" si="142"/>
        <v>1800</v>
      </c>
      <c r="P132" s="17">
        <v>91.923999999999978</v>
      </c>
      <c r="Q132" s="17">
        <v>91.923999999999978</v>
      </c>
      <c r="R132" s="17"/>
      <c r="S132" s="17"/>
      <c r="T132" s="17">
        <v>91.923999999999978</v>
      </c>
      <c r="U132" s="17">
        <v>91.923999999999978</v>
      </c>
      <c r="V132" s="17"/>
      <c r="W132" s="17"/>
      <c r="X132" s="17">
        <f t="shared" si="143"/>
        <v>92</v>
      </c>
      <c r="Y132" s="17">
        <v>92</v>
      </c>
      <c r="Z132" s="17"/>
      <c r="AA132" s="17"/>
      <c r="AB132" s="17"/>
      <c r="AC132" s="17"/>
      <c r="AD132" s="17">
        <f t="shared" si="144"/>
        <v>92</v>
      </c>
      <c r="AE132" s="17">
        <v>92</v>
      </c>
      <c r="AF132" s="17"/>
      <c r="AG132" s="17"/>
      <c r="AH132" s="17">
        <v>0</v>
      </c>
      <c r="AI132" s="17">
        <v>0</v>
      </c>
      <c r="AJ132" s="17"/>
      <c r="AK132" s="17"/>
      <c r="AL132" s="17">
        <v>7.5999999999999998E-2</v>
      </c>
      <c r="AM132" s="17">
        <v>91.923999999999978</v>
      </c>
      <c r="AN132" s="17">
        <v>91.923999999999978</v>
      </c>
      <c r="AO132" s="17"/>
      <c r="AP132" s="17"/>
      <c r="AQ132" s="17"/>
      <c r="AR132" s="17"/>
      <c r="AS132" s="17">
        <f t="shared" si="145"/>
        <v>91.9</v>
      </c>
      <c r="AT132" s="17">
        <v>91.9</v>
      </c>
      <c r="AU132" s="17"/>
      <c r="AV132" s="17"/>
      <c r="AW132" s="10"/>
      <c r="AX132" s="11"/>
      <c r="AZ132" s="13">
        <v>1</v>
      </c>
      <c r="BA132" s="13"/>
    </row>
    <row r="133" spans="1:55" s="14" customFormat="1" ht="63" x14ac:dyDescent="0.25">
      <c r="A133" s="6">
        <v>11</v>
      </c>
      <c r="B133" s="189" t="s">
        <v>314</v>
      </c>
      <c r="C133" s="57"/>
      <c r="D133" s="6" t="s">
        <v>315</v>
      </c>
      <c r="E133" s="242" t="s">
        <v>285</v>
      </c>
      <c r="F133" s="6" t="s">
        <v>316</v>
      </c>
      <c r="G133" s="17">
        <v>2535</v>
      </c>
      <c r="H133" s="17">
        <v>2535</v>
      </c>
      <c r="I133" s="17"/>
      <c r="J133" s="17"/>
      <c r="K133" s="17"/>
      <c r="L133" s="17">
        <v>2000</v>
      </c>
      <c r="M133" s="17">
        <v>2000</v>
      </c>
      <c r="N133" s="17">
        <v>2000</v>
      </c>
      <c r="O133" s="17">
        <f t="shared" si="142"/>
        <v>2000</v>
      </c>
      <c r="P133" s="17">
        <v>173.15900000000011</v>
      </c>
      <c r="Q133" s="17">
        <v>173.15900000000011</v>
      </c>
      <c r="R133" s="17"/>
      <c r="S133" s="17"/>
      <c r="T133" s="17">
        <v>173.15900000000011</v>
      </c>
      <c r="U133" s="17">
        <v>173.15900000000011</v>
      </c>
      <c r="V133" s="17"/>
      <c r="W133" s="17"/>
      <c r="X133" s="17">
        <f t="shared" si="143"/>
        <v>167</v>
      </c>
      <c r="Y133" s="17">
        <v>167</v>
      </c>
      <c r="Z133" s="17"/>
      <c r="AA133" s="17"/>
      <c r="AB133" s="17"/>
      <c r="AC133" s="17"/>
      <c r="AD133" s="17">
        <f t="shared" si="144"/>
        <v>173</v>
      </c>
      <c r="AE133" s="17">
        <v>173</v>
      </c>
      <c r="AF133" s="17"/>
      <c r="AG133" s="17"/>
      <c r="AH133" s="17">
        <v>0</v>
      </c>
      <c r="AI133" s="17">
        <v>0</v>
      </c>
      <c r="AJ133" s="17"/>
      <c r="AK133" s="17">
        <v>0.159</v>
      </c>
      <c r="AL133" s="17"/>
      <c r="AM133" s="17">
        <v>167.15899999999999</v>
      </c>
      <c r="AN133" s="17">
        <v>167.15899999999999</v>
      </c>
      <c r="AO133" s="17"/>
      <c r="AP133" s="17"/>
      <c r="AQ133" s="17"/>
      <c r="AR133" s="17"/>
      <c r="AS133" s="17">
        <f t="shared" si="145"/>
        <v>167.2</v>
      </c>
      <c r="AT133" s="17">
        <v>167.2</v>
      </c>
      <c r="AU133" s="17"/>
      <c r="AV133" s="17"/>
      <c r="AW133" s="10"/>
      <c r="AX133" s="11"/>
      <c r="AZ133" s="13"/>
      <c r="BA133" s="13">
        <v>1</v>
      </c>
    </row>
    <row r="134" spans="1:55" s="14" customFormat="1" ht="47.25" x14ac:dyDescent="0.25">
      <c r="A134" s="6">
        <v>12</v>
      </c>
      <c r="B134" s="189" t="s">
        <v>317</v>
      </c>
      <c r="C134" s="57"/>
      <c r="D134" s="6" t="s">
        <v>318</v>
      </c>
      <c r="E134" s="242" t="s">
        <v>285</v>
      </c>
      <c r="F134" s="6" t="s">
        <v>319</v>
      </c>
      <c r="G134" s="17">
        <v>1867.6610000000001</v>
      </c>
      <c r="H134" s="17">
        <v>1867.6610000000001</v>
      </c>
      <c r="I134" s="17"/>
      <c r="J134" s="17"/>
      <c r="K134" s="17"/>
      <c r="L134" s="17">
        <v>1500</v>
      </c>
      <c r="M134" s="17">
        <v>1500</v>
      </c>
      <c r="N134" s="17">
        <v>1500</v>
      </c>
      <c r="O134" s="17">
        <f t="shared" si="142"/>
        <v>1500</v>
      </c>
      <c r="P134" s="17">
        <v>16.076999999999998</v>
      </c>
      <c r="Q134" s="17">
        <v>16.076999999999998</v>
      </c>
      <c r="R134" s="17"/>
      <c r="S134" s="17"/>
      <c r="T134" s="17">
        <v>16.076999999999998</v>
      </c>
      <c r="U134" s="17">
        <v>16.076999999999998</v>
      </c>
      <c r="V134" s="17"/>
      <c r="W134" s="17"/>
      <c r="X134" s="17">
        <f t="shared" si="143"/>
        <v>16</v>
      </c>
      <c r="Y134" s="17">
        <v>16</v>
      </c>
      <c r="Z134" s="17"/>
      <c r="AA134" s="17"/>
      <c r="AB134" s="17"/>
      <c r="AC134" s="17"/>
      <c r="AD134" s="17">
        <f t="shared" si="144"/>
        <v>16</v>
      </c>
      <c r="AE134" s="17">
        <v>16</v>
      </c>
      <c r="AF134" s="17"/>
      <c r="AG134" s="17"/>
      <c r="AH134" s="17">
        <v>0</v>
      </c>
      <c r="AI134" s="17">
        <v>0</v>
      </c>
      <c r="AJ134" s="17"/>
      <c r="AK134" s="17">
        <v>7.6999999999999999E-2</v>
      </c>
      <c r="AL134" s="17"/>
      <c r="AM134" s="17">
        <v>16.076999999999998</v>
      </c>
      <c r="AN134" s="17">
        <v>16.076999999999998</v>
      </c>
      <c r="AO134" s="17"/>
      <c r="AP134" s="17"/>
      <c r="AQ134" s="17"/>
      <c r="AR134" s="17"/>
      <c r="AS134" s="17">
        <f t="shared" si="145"/>
        <v>16.100000000000001</v>
      </c>
      <c r="AT134" s="17">
        <v>16.100000000000001</v>
      </c>
      <c r="AU134" s="17"/>
      <c r="AV134" s="17"/>
      <c r="AW134" s="10"/>
      <c r="AX134" s="11"/>
      <c r="AZ134" s="13"/>
      <c r="BA134" s="13">
        <v>1</v>
      </c>
    </row>
    <row r="135" spans="1:55" s="14" customFormat="1" ht="47.25" x14ac:dyDescent="0.25">
      <c r="A135" s="6">
        <v>13</v>
      </c>
      <c r="B135" s="189" t="s">
        <v>320</v>
      </c>
      <c r="C135" s="57"/>
      <c r="D135" s="6" t="s">
        <v>321</v>
      </c>
      <c r="E135" s="242" t="s">
        <v>285</v>
      </c>
      <c r="F135" s="6" t="s">
        <v>322</v>
      </c>
      <c r="G135" s="17">
        <v>1511</v>
      </c>
      <c r="H135" s="17">
        <v>1511</v>
      </c>
      <c r="I135" s="17"/>
      <c r="J135" s="17"/>
      <c r="K135" s="17"/>
      <c r="L135" s="17">
        <v>1200</v>
      </c>
      <c r="M135" s="17">
        <v>1200</v>
      </c>
      <c r="N135" s="17">
        <v>1200</v>
      </c>
      <c r="O135" s="17">
        <f t="shared" si="142"/>
        <v>1200</v>
      </c>
      <c r="P135" s="17">
        <v>106.23800000000006</v>
      </c>
      <c r="Q135" s="17">
        <v>106.23800000000006</v>
      </c>
      <c r="R135" s="17"/>
      <c r="S135" s="17"/>
      <c r="T135" s="17">
        <v>106.23800000000006</v>
      </c>
      <c r="U135" s="17">
        <v>106.23800000000006</v>
      </c>
      <c r="V135" s="17"/>
      <c r="W135" s="17"/>
      <c r="X135" s="17">
        <f t="shared" si="143"/>
        <v>106</v>
      </c>
      <c r="Y135" s="17">
        <v>106</v>
      </c>
      <c r="Z135" s="17"/>
      <c r="AA135" s="17"/>
      <c r="AB135" s="17"/>
      <c r="AC135" s="17"/>
      <c r="AD135" s="17">
        <f t="shared" si="144"/>
        <v>106</v>
      </c>
      <c r="AE135" s="17">
        <v>106</v>
      </c>
      <c r="AF135" s="17"/>
      <c r="AG135" s="17"/>
      <c r="AH135" s="17">
        <v>0</v>
      </c>
      <c r="AI135" s="17">
        <v>0</v>
      </c>
      <c r="AJ135" s="17"/>
      <c r="AK135" s="17">
        <v>0.23799999999999999</v>
      </c>
      <c r="AL135" s="17"/>
      <c r="AM135" s="17">
        <v>106.23800000000006</v>
      </c>
      <c r="AN135" s="17">
        <v>106.23800000000006</v>
      </c>
      <c r="AO135" s="17"/>
      <c r="AP135" s="17"/>
      <c r="AQ135" s="17"/>
      <c r="AR135" s="17"/>
      <c r="AS135" s="17">
        <f t="shared" si="145"/>
        <v>106.2</v>
      </c>
      <c r="AT135" s="17">
        <v>106.2</v>
      </c>
      <c r="AU135" s="17"/>
      <c r="AV135" s="17"/>
      <c r="AW135" s="10"/>
      <c r="AX135" s="11"/>
      <c r="AZ135" s="13"/>
      <c r="BA135" s="13">
        <v>1</v>
      </c>
    </row>
    <row r="136" spans="1:55" s="144" customFormat="1" ht="31.5" x14ac:dyDescent="0.25">
      <c r="A136" s="167" t="s">
        <v>108</v>
      </c>
      <c r="B136" s="223" t="s">
        <v>187</v>
      </c>
      <c r="C136" s="142"/>
      <c r="D136" s="167"/>
      <c r="E136" s="167"/>
      <c r="F136" s="142"/>
      <c r="G136" s="101">
        <f t="shared" ref="G136" si="146">SUM(G137:G141)</f>
        <v>26511.782511000001</v>
      </c>
      <c r="H136" s="101">
        <f t="shared" ref="H136" si="147">SUM(H137:H141)</f>
        <v>22369.782510999998</v>
      </c>
      <c r="I136" s="101">
        <f t="shared" ref="I136" si="148">SUM(I137:I141)</f>
        <v>0</v>
      </c>
      <c r="J136" s="101">
        <f t="shared" ref="J136" si="149">SUM(J137:J141)</f>
        <v>0</v>
      </c>
      <c r="K136" s="101">
        <f t="shared" ref="K136" si="150">SUM(K137:K141)</f>
        <v>0</v>
      </c>
      <c r="L136" s="101">
        <f t="shared" ref="L136" si="151">SUM(L137:L141)</f>
        <v>11218</v>
      </c>
      <c r="M136" s="101">
        <f t="shared" ref="M136" si="152">SUM(M137:M141)</f>
        <v>10688</v>
      </c>
      <c r="N136" s="101">
        <f t="shared" ref="N136" si="153">SUM(N137:N141)</f>
        <v>8876.1419999999998</v>
      </c>
      <c r="O136" s="101">
        <f t="shared" ref="O136" si="154">SUM(O137:O141)</f>
        <v>8876.1419999999998</v>
      </c>
      <c r="P136" s="101">
        <f t="shared" ref="P136" si="155">SUM(P137:P141)</f>
        <v>15293.782510999999</v>
      </c>
      <c r="Q136" s="101">
        <f t="shared" ref="Q136" si="156">SUM(Q137:Q141)</f>
        <v>11681.782510999999</v>
      </c>
      <c r="R136" s="101">
        <f t="shared" ref="R136" si="157">SUM(R137:R141)</f>
        <v>0</v>
      </c>
      <c r="S136" s="101">
        <f t="shared" ref="S136" si="158">SUM(S137:S141)</f>
        <v>0</v>
      </c>
      <c r="T136" s="101">
        <f t="shared" ref="T136" si="159">SUM(T137:T141)</f>
        <v>16961.782510999998</v>
      </c>
      <c r="U136" s="101">
        <f t="shared" ref="U136" si="160">SUM(U137:U141)</f>
        <v>16961.782510999998</v>
      </c>
      <c r="V136" s="101">
        <f t="shared" ref="V136" si="161">SUM(V137:V141)</f>
        <v>0</v>
      </c>
      <c r="W136" s="101">
        <f t="shared" ref="W136" si="162">SUM(W137:W141)</f>
        <v>0</v>
      </c>
      <c r="X136" s="101">
        <f t="shared" ref="X136" si="163">SUM(X137:X141)</f>
        <v>14402</v>
      </c>
      <c r="Y136" s="101">
        <f t="shared" ref="Y136" si="164">SUM(Y137:Y141)</f>
        <v>10790</v>
      </c>
      <c r="Z136" s="101">
        <f t="shared" ref="Z136" si="165">SUM(Z137:Z141)</f>
        <v>0</v>
      </c>
      <c r="AA136" s="101">
        <f t="shared" ref="AA136" si="166">SUM(AA137:AA141)</f>
        <v>0</v>
      </c>
      <c r="AB136" s="101">
        <f t="shared" ref="AB136" si="167">SUM(AB137:AB141)</f>
        <v>0</v>
      </c>
      <c r="AC136" s="101">
        <f t="shared" ref="AC136" si="168">SUM(AC137:AC141)</f>
        <v>0</v>
      </c>
      <c r="AD136" s="101">
        <f t="shared" ref="AD136" si="169">SUM(AD137:AD141)</f>
        <v>11300</v>
      </c>
      <c r="AE136" s="101">
        <f t="shared" ref="AE136" si="170">SUM(AE137:AE141)</f>
        <v>11300</v>
      </c>
      <c r="AF136" s="101">
        <f t="shared" ref="AF136" si="171">SUM(AF137:AF141)</f>
        <v>0</v>
      </c>
      <c r="AG136" s="101">
        <f t="shared" ref="AG136" si="172">SUM(AG137:AG141)</f>
        <v>0</v>
      </c>
      <c r="AH136" s="101">
        <f t="shared" ref="AH136" si="173">SUM(AH137:AH141)</f>
        <v>0</v>
      </c>
      <c r="AI136" s="101">
        <f t="shared" ref="AI136" si="174">SUM(AI137:AI141)</f>
        <v>0</v>
      </c>
      <c r="AJ136" s="101">
        <f t="shared" ref="AJ136" si="175">SUM(AJ137:AJ141)</f>
        <v>0</v>
      </c>
      <c r="AK136" s="101">
        <f t="shared" ref="AK136" si="176">SUM(AK137:AK141)</f>
        <v>0.56099999999999994</v>
      </c>
      <c r="AL136" s="101">
        <f t="shared" ref="AL136" si="177">SUM(AL137:AL141)</f>
        <v>0.56799999999998363</v>
      </c>
      <c r="AM136" s="101">
        <f t="shared" ref="AM136" si="178">SUM(AM137:AM141)</f>
        <v>14401.993</v>
      </c>
      <c r="AN136" s="101">
        <f t="shared" ref="AN136" si="179">SUM(AN137:AN141)</f>
        <v>10789.993</v>
      </c>
      <c r="AO136" s="101">
        <f t="shared" ref="AO136" si="180">SUM(AO137:AO141)</f>
        <v>0</v>
      </c>
      <c r="AP136" s="101">
        <f t="shared" ref="AP136" si="181">SUM(AP137:AP141)</f>
        <v>0</v>
      </c>
      <c r="AQ136" s="101">
        <f t="shared" ref="AQ136" si="182">SUM(AQ137:AQ141)</f>
        <v>0</v>
      </c>
      <c r="AR136" s="101">
        <f t="shared" ref="AR136" si="183">SUM(AR137:AR141)</f>
        <v>382</v>
      </c>
      <c r="AS136" s="101">
        <f t="shared" ref="AS136" si="184">SUM(AS137:AS141)</f>
        <v>10407.993</v>
      </c>
      <c r="AT136" s="101">
        <f t="shared" ref="AT136" si="185">SUM(AT137:AT141)</f>
        <v>10407.993</v>
      </c>
      <c r="AU136" s="171"/>
      <c r="AV136" s="171"/>
      <c r="AW136" s="143"/>
      <c r="AX136" s="174"/>
      <c r="AZ136" s="208"/>
      <c r="BA136" s="208"/>
    </row>
    <row r="137" spans="1:55" s="14" customFormat="1" ht="47.25" x14ac:dyDescent="0.25">
      <c r="A137" s="6">
        <v>1</v>
      </c>
      <c r="B137" s="189" t="s">
        <v>323</v>
      </c>
      <c r="C137" s="57"/>
      <c r="D137" s="6" t="s">
        <v>324</v>
      </c>
      <c r="E137" s="242" t="s">
        <v>325</v>
      </c>
      <c r="F137" s="6" t="s">
        <v>326</v>
      </c>
      <c r="G137" s="17">
        <v>2491.7825109999999</v>
      </c>
      <c r="H137" s="17">
        <v>2491.7825109999999</v>
      </c>
      <c r="I137" s="17"/>
      <c r="J137" s="17"/>
      <c r="K137" s="17"/>
      <c r="L137" s="17">
        <v>900</v>
      </c>
      <c r="M137" s="17">
        <v>900</v>
      </c>
      <c r="N137" s="17">
        <v>856.55799999999999</v>
      </c>
      <c r="O137" s="17">
        <f>N137</f>
        <v>856.55799999999999</v>
      </c>
      <c r="P137" s="17">
        <v>1591.7825109999999</v>
      </c>
      <c r="Q137" s="17">
        <v>1591.7825109999999</v>
      </c>
      <c r="R137" s="17"/>
      <c r="S137" s="17"/>
      <c r="T137" s="17">
        <v>1591.7825109999999</v>
      </c>
      <c r="U137" s="17">
        <v>1591.7825109999999</v>
      </c>
      <c r="V137" s="17"/>
      <c r="W137" s="17"/>
      <c r="X137" s="17">
        <f>Y137</f>
        <v>1436</v>
      </c>
      <c r="Y137" s="17">
        <v>1436</v>
      </c>
      <c r="Z137" s="17"/>
      <c r="AA137" s="17"/>
      <c r="AB137" s="17"/>
      <c r="AC137" s="17"/>
      <c r="AD137" s="17">
        <f>AE137</f>
        <v>1592</v>
      </c>
      <c r="AE137" s="17">
        <v>1592</v>
      </c>
      <c r="AF137" s="17"/>
      <c r="AG137" s="17"/>
      <c r="AH137" s="17">
        <f>AI137</f>
        <v>0</v>
      </c>
      <c r="AI137" s="17">
        <v>0</v>
      </c>
      <c r="AJ137" s="17"/>
      <c r="AK137" s="17"/>
      <c r="AL137" s="17">
        <f>Y137-AN137</f>
        <v>0.56799999999998363</v>
      </c>
      <c r="AM137" s="17">
        <f>AN137</f>
        <v>1435.432</v>
      </c>
      <c r="AN137" s="17">
        <v>1435.432</v>
      </c>
      <c r="AO137" s="17"/>
      <c r="AP137" s="17"/>
      <c r="AQ137" s="17"/>
      <c r="AR137" s="17"/>
      <c r="AS137" s="17">
        <f t="shared" si="145"/>
        <v>1435.432</v>
      </c>
      <c r="AT137" s="17">
        <v>1435.432</v>
      </c>
      <c r="AU137" s="17"/>
      <c r="AV137" s="17"/>
      <c r="AW137" s="10"/>
      <c r="AX137" s="19"/>
      <c r="AZ137" s="13">
        <v>1</v>
      </c>
      <c r="BA137" s="13"/>
    </row>
    <row r="138" spans="1:55" s="14" customFormat="1" ht="47.25" x14ac:dyDescent="0.25">
      <c r="A138" s="6">
        <v>2</v>
      </c>
      <c r="B138" s="189" t="s">
        <v>327</v>
      </c>
      <c r="C138" s="57"/>
      <c r="D138" s="6" t="s">
        <v>328</v>
      </c>
      <c r="E138" s="242" t="s">
        <v>120</v>
      </c>
      <c r="F138" s="6" t="s">
        <v>329</v>
      </c>
      <c r="G138" s="17">
        <v>14650</v>
      </c>
      <c r="H138" s="17">
        <v>12000</v>
      </c>
      <c r="I138" s="17"/>
      <c r="J138" s="17"/>
      <c r="K138" s="17"/>
      <c r="L138" s="17">
        <f>M138</f>
        <v>6918</v>
      </c>
      <c r="M138" s="17">
        <f>5250+1668</f>
        <v>6918</v>
      </c>
      <c r="N138" s="17">
        <f>O138</f>
        <v>5250</v>
      </c>
      <c r="O138" s="17">
        <v>5250</v>
      </c>
      <c r="P138" s="17">
        <f>G138-L138</f>
        <v>7732</v>
      </c>
      <c r="Q138" s="17">
        <f>H138-M138</f>
        <v>5082</v>
      </c>
      <c r="R138" s="17"/>
      <c r="S138" s="17"/>
      <c r="T138" s="17">
        <v>9400</v>
      </c>
      <c r="U138" s="17">
        <v>9400</v>
      </c>
      <c r="V138" s="17"/>
      <c r="W138" s="17"/>
      <c r="X138" s="17">
        <f>G138-L138</f>
        <v>7732</v>
      </c>
      <c r="Y138" s="17">
        <f>H138-M138</f>
        <v>5082</v>
      </c>
      <c r="Z138" s="17"/>
      <c r="AA138" s="17"/>
      <c r="AB138" s="17"/>
      <c r="AC138" s="17"/>
      <c r="AD138" s="17">
        <f>AE138</f>
        <v>4700</v>
      </c>
      <c r="AE138" s="17">
        <v>4700</v>
      </c>
      <c r="AF138" s="17"/>
      <c r="AG138" s="17"/>
      <c r="AH138" s="17">
        <f>AI138</f>
        <v>0</v>
      </c>
      <c r="AI138" s="17">
        <v>0</v>
      </c>
      <c r="AJ138" s="17"/>
      <c r="AK138" s="17"/>
      <c r="AL138" s="17"/>
      <c r="AM138" s="17">
        <f>AN138+2650</f>
        <v>7732</v>
      </c>
      <c r="AN138" s="17">
        <v>5082</v>
      </c>
      <c r="AO138" s="17"/>
      <c r="AP138" s="17"/>
      <c r="AQ138" s="17"/>
      <c r="AR138" s="17">
        <f>AN138-4700</f>
        <v>382</v>
      </c>
      <c r="AS138" s="17">
        <f t="shared" si="145"/>
        <v>4700</v>
      </c>
      <c r="AT138" s="17">
        <f>AN138-AR138</f>
        <v>4700</v>
      </c>
      <c r="AU138" s="17"/>
      <c r="AV138" s="17"/>
      <c r="AW138" s="10" t="s">
        <v>330</v>
      </c>
      <c r="AX138" s="19"/>
      <c r="AY138" s="124"/>
      <c r="AZ138" s="74"/>
      <c r="BA138" s="74"/>
      <c r="BB138" s="124"/>
      <c r="BC138" s="124"/>
    </row>
    <row r="139" spans="1:55" s="14" customFormat="1" ht="47.25" x14ac:dyDescent="0.25">
      <c r="A139" s="6">
        <v>3</v>
      </c>
      <c r="B139" s="189" t="s">
        <v>331</v>
      </c>
      <c r="C139" s="57"/>
      <c r="D139" s="6" t="s">
        <v>332</v>
      </c>
      <c r="E139" s="242" t="s">
        <v>333</v>
      </c>
      <c r="F139" s="6" t="s">
        <v>334</v>
      </c>
      <c r="G139" s="17">
        <v>2600</v>
      </c>
      <c r="H139" s="17">
        <v>2600</v>
      </c>
      <c r="I139" s="17"/>
      <c r="J139" s="17"/>
      <c r="K139" s="17"/>
      <c r="L139" s="17">
        <v>930</v>
      </c>
      <c r="M139" s="17">
        <v>930</v>
      </c>
      <c r="N139" s="17">
        <v>829.58399999999995</v>
      </c>
      <c r="O139" s="17">
        <f>N139</f>
        <v>829.58399999999995</v>
      </c>
      <c r="P139" s="17">
        <v>1670</v>
      </c>
      <c r="Q139" s="17">
        <v>1670</v>
      </c>
      <c r="R139" s="17"/>
      <c r="S139" s="17"/>
      <c r="T139" s="17">
        <v>1670</v>
      </c>
      <c r="U139" s="17">
        <v>1670</v>
      </c>
      <c r="V139" s="17"/>
      <c r="W139" s="17"/>
      <c r="X139" s="17">
        <f>Y139</f>
        <v>1300</v>
      </c>
      <c r="Y139" s="17">
        <v>1300</v>
      </c>
      <c r="Z139" s="17"/>
      <c r="AA139" s="17"/>
      <c r="AB139" s="17"/>
      <c r="AC139" s="17"/>
      <c r="AD139" s="17">
        <f>AE139</f>
        <v>1670</v>
      </c>
      <c r="AE139" s="17">
        <v>1670</v>
      </c>
      <c r="AF139" s="17"/>
      <c r="AG139" s="17"/>
      <c r="AH139" s="17">
        <f>AI139</f>
        <v>0</v>
      </c>
      <c r="AI139" s="17">
        <v>0</v>
      </c>
      <c r="AJ139" s="17"/>
      <c r="AK139" s="17">
        <v>0.40699999999999997</v>
      </c>
      <c r="AL139" s="17"/>
      <c r="AM139" s="17">
        <v>1300.4069999999999</v>
      </c>
      <c r="AN139" s="17">
        <f>Y139+AK139</f>
        <v>1300.4069999999999</v>
      </c>
      <c r="AO139" s="17"/>
      <c r="AP139" s="17"/>
      <c r="AQ139" s="17"/>
      <c r="AR139" s="17"/>
      <c r="AS139" s="17">
        <f t="shared" si="145"/>
        <v>1300.4069999999999</v>
      </c>
      <c r="AT139" s="17">
        <v>1300.4069999999999</v>
      </c>
      <c r="AU139" s="17"/>
      <c r="AV139" s="17"/>
      <c r="AW139" s="10"/>
      <c r="AX139" s="19"/>
      <c r="AZ139" s="13"/>
      <c r="BA139" s="13">
        <v>1</v>
      </c>
    </row>
    <row r="140" spans="1:55" s="14" customFormat="1" ht="63" x14ac:dyDescent="0.25">
      <c r="A140" s="216">
        <v>4</v>
      </c>
      <c r="B140" s="243" t="s">
        <v>335</v>
      </c>
      <c r="C140" s="57"/>
      <c r="D140" s="216" t="s">
        <v>336</v>
      </c>
      <c r="E140" s="244" t="s">
        <v>325</v>
      </c>
      <c r="F140" s="216" t="s">
        <v>337</v>
      </c>
      <c r="G140" s="17">
        <v>4470</v>
      </c>
      <c r="H140" s="17">
        <v>2978</v>
      </c>
      <c r="I140" s="17"/>
      <c r="J140" s="17"/>
      <c r="K140" s="17"/>
      <c r="L140" s="17">
        <v>1630</v>
      </c>
      <c r="M140" s="17">
        <v>1100</v>
      </c>
      <c r="N140" s="17">
        <v>1100</v>
      </c>
      <c r="O140" s="17">
        <f>N140</f>
        <v>1100</v>
      </c>
      <c r="P140" s="17">
        <f>G140-L140</f>
        <v>2840</v>
      </c>
      <c r="Q140" s="17">
        <v>1878</v>
      </c>
      <c r="R140" s="17"/>
      <c r="S140" s="17"/>
      <c r="T140" s="17">
        <v>2840</v>
      </c>
      <c r="U140" s="17">
        <f>T140</f>
        <v>2840</v>
      </c>
      <c r="V140" s="17"/>
      <c r="W140" s="17"/>
      <c r="X140" s="17">
        <v>2840</v>
      </c>
      <c r="Y140" s="17">
        <v>1878</v>
      </c>
      <c r="Z140" s="17"/>
      <c r="AA140" s="17"/>
      <c r="AB140" s="17"/>
      <c r="AC140" s="17"/>
      <c r="AD140" s="17">
        <f>AE140</f>
        <v>1878</v>
      </c>
      <c r="AE140" s="17">
        <v>1878</v>
      </c>
      <c r="AF140" s="17"/>
      <c r="AG140" s="17"/>
      <c r="AH140" s="17">
        <f>AI140</f>
        <v>0</v>
      </c>
      <c r="AI140" s="17">
        <v>0</v>
      </c>
      <c r="AJ140" s="17"/>
      <c r="AK140" s="17"/>
      <c r="AL140" s="17"/>
      <c r="AM140" s="17">
        <f>AN140+962</f>
        <v>2840</v>
      </c>
      <c r="AN140" s="17">
        <v>1878</v>
      </c>
      <c r="AO140" s="17"/>
      <c r="AP140" s="17"/>
      <c r="AQ140" s="17"/>
      <c r="AR140" s="17"/>
      <c r="AS140" s="17">
        <f t="shared" si="145"/>
        <v>1878</v>
      </c>
      <c r="AT140" s="17">
        <v>1878</v>
      </c>
      <c r="AU140" s="17"/>
      <c r="AV140" s="17"/>
      <c r="AW140" s="10"/>
      <c r="AX140" s="19"/>
      <c r="AZ140" s="13"/>
      <c r="BA140" s="13"/>
    </row>
    <row r="141" spans="1:55" s="14" customFormat="1" ht="63" x14ac:dyDescent="0.25">
      <c r="A141" s="6">
        <v>5</v>
      </c>
      <c r="B141" s="189" t="s">
        <v>338</v>
      </c>
      <c r="C141" s="57"/>
      <c r="D141" s="6" t="s">
        <v>339</v>
      </c>
      <c r="E141" s="242" t="s">
        <v>325</v>
      </c>
      <c r="F141" s="6" t="s">
        <v>340</v>
      </c>
      <c r="G141" s="17">
        <v>2300</v>
      </c>
      <c r="H141" s="17">
        <v>2300</v>
      </c>
      <c r="I141" s="17"/>
      <c r="J141" s="17"/>
      <c r="K141" s="17"/>
      <c r="L141" s="17">
        <v>840</v>
      </c>
      <c r="M141" s="17">
        <v>840</v>
      </c>
      <c r="N141" s="17">
        <v>840</v>
      </c>
      <c r="O141" s="17">
        <f>N141</f>
        <v>840</v>
      </c>
      <c r="P141" s="17">
        <v>1460</v>
      </c>
      <c r="Q141" s="17">
        <v>1460</v>
      </c>
      <c r="R141" s="17"/>
      <c r="S141" s="17"/>
      <c r="T141" s="17">
        <v>1460</v>
      </c>
      <c r="U141" s="17">
        <v>1460</v>
      </c>
      <c r="V141" s="17"/>
      <c r="W141" s="17"/>
      <c r="X141" s="17">
        <f>Y141</f>
        <v>1094</v>
      </c>
      <c r="Y141" s="17">
        <v>1094</v>
      </c>
      <c r="Z141" s="17"/>
      <c r="AA141" s="17"/>
      <c r="AB141" s="17"/>
      <c r="AC141" s="17"/>
      <c r="AD141" s="17">
        <f>AE141</f>
        <v>1460</v>
      </c>
      <c r="AE141" s="17">
        <v>1460</v>
      </c>
      <c r="AF141" s="17"/>
      <c r="AG141" s="17"/>
      <c r="AH141" s="17">
        <v>0</v>
      </c>
      <c r="AI141" s="17">
        <v>0</v>
      </c>
      <c r="AJ141" s="17"/>
      <c r="AK141" s="17">
        <v>0.154</v>
      </c>
      <c r="AL141" s="17"/>
      <c r="AM141" s="17">
        <v>1094.154</v>
      </c>
      <c r="AN141" s="17">
        <v>1094.154</v>
      </c>
      <c r="AO141" s="17"/>
      <c r="AP141" s="17"/>
      <c r="AQ141" s="17"/>
      <c r="AR141" s="17"/>
      <c r="AS141" s="17">
        <f t="shared" si="145"/>
        <v>1094.154</v>
      </c>
      <c r="AT141" s="17">
        <v>1094.154</v>
      </c>
      <c r="AU141" s="17"/>
      <c r="AV141" s="17"/>
      <c r="AW141" s="141"/>
      <c r="AX141" s="79"/>
      <c r="AZ141" s="13"/>
      <c r="BA141" s="13">
        <v>1</v>
      </c>
    </row>
    <row r="142" spans="1:55" s="14" customFormat="1" ht="35.450000000000003" customHeight="1" x14ac:dyDescent="0.25">
      <c r="A142" s="3" t="s">
        <v>131</v>
      </c>
      <c r="B142" s="181" t="s">
        <v>132</v>
      </c>
      <c r="C142" s="57"/>
      <c r="D142" s="158"/>
      <c r="E142" s="158"/>
      <c r="F142" s="57"/>
      <c r="G142" s="38">
        <f t="shared" ref="G142:AT142" si="186">G143+G156</f>
        <v>90134</v>
      </c>
      <c r="H142" s="38">
        <f t="shared" si="186"/>
        <v>89754.826000000001</v>
      </c>
      <c r="I142" s="38">
        <f t="shared" si="186"/>
        <v>0</v>
      </c>
      <c r="J142" s="38">
        <f t="shared" si="186"/>
        <v>0</v>
      </c>
      <c r="K142" s="38">
        <f t="shared" si="186"/>
        <v>0</v>
      </c>
      <c r="L142" s="38">
        <f t="shared" si="186"/>
        <v>0</v>
      </c>
      <c r="M142" s="38">
        <f t="shared" si="186"/>
        <v>0</v>
      </c>
      <c r="N142" s="38">
        <f t="shared" si="186"/>
        <v>0</v>
      </c>
      <c r="O142" s="38">
        <f t="shared" si="186"/>
        <v>0</v>
      </c>
      <c r="P142" s="38">
        <f t="shared" si="186"/>
        <v>82720</v>
      </c>
      <c r="Q142" s="38">
        <f t="shared" si="186"/>
        <v>82720</v>
      </c>
      <c r="R142" s="38">
        <f t="shared" si="186"/>
        <v>0</v>
      </c>
      <c r="S142" s="38">
        <f t="shared" si="186"/>
        <v>0</v>
      </c>
      <c r="T142" s="38">
        <f t="shared" si="186"/>
        <v>65720</v>
      </c>
      <c r="U142" s="38">
        <f t="shared" si="186"/>
        <v>65720</v>
      </c>
      <c r="V142" s="38">
        <f t="shared" si="186"/>
        <v>0</v>
      </c>
      <c r="W142" s="38">
        <f t="shared" si="186"/>
        <v>0</v>
      </c>
      <c r="X142" s="38">
        <f t="shared" si="186"/>
        <v>85270</v>
      </c>
      <c r="Y142" s="38">
        <f t="shared" si="186"/>
        <v>84920</v>
      </c>
      <c r="Z142" s="38">
        <f t="shared" si="186"/>
        <v>0</v>
      </c>
      <c r="AA142" s="38">
        <f t="shared" si="186"/>
        <v>0</v>
      </c>
      <c r="AB142" s="38">
        <f t="shared" si="186"/>
        <v>24140</v>
      </c>
      <c r="AC142" s="38">
        <f t="shared" si="186"/>
        <v>-4940</v>
      </c>
      <c r="AD142" s="38">
        <f t="shared" si="186"/>
        <v>2292</v>
      </c>
      <c r="AE142" s="38">
        <f t="shared" si="186"/>
        <v>2292</v>
      </c>
      <c r="AF142" s="38">
        <f t="shared" si="186"/>
        <v>0</v>
      </c>
      <c r="AG142" s="38">
        <f t="shared" si="186"/>
        <v>0</v>
      </c>
      <c r="AH142" s="38">
        <f t="shared" si="186"/>
        <v>14625</v>
      </c>
      <c r="AI142" s="38">
        <f t="shared" si="186"/>
        <v>14625</v>
      </c>
      <c r="AJ142" s="38">
        <f t="shared" si="186"/>
        <v>0</v>
      </c>
      <c r="AK142" s="38">
        <f t="shared" si="186"/>
        <v>4890.826</v>
      </c>
      <c r="AL142" s="38">
        <f t="shared" si="186"/>
        <v>300</v>
      </c>
      <c r="AM142" s="38">
        <f t="shared" si="186"/>
        <v>90174</v>
      </c>
      <c r="AN142" s="38">
        <f t="shared" si="186"/>
        <v>89704.826000000001</v>
      </c>
      <c r="AO142" s="38">
        <f t="shared" si="186"/>
        <v>0</v>
      </c>
      <c r="AP142" s="38">
        <f t="shared" si="186"/>
        <v>0</v>
      </c>
      <c r="AQ142" s="38">
        <f t="shared" si="186"/>
        <v>0</v>
      </c>
      <c r="AR142" s="38">
        <f t="shared" si="186"/>
        <v>193.00000000000017</v>
      </c>
      <c r="AS142" s="38">
        <f t="shared" si="186"/>
        <v>89920.9</v>
      </c>
      <c r="AT142" s="38">
        <f t="shared" si="186"/>
        <v>89511.725999999995</v>
      </c>
      <c r="AU142" s="37"/>
      <c r="AV142" s="37"/>
      <c r="AW142" s="141"/>
      <c r="AX142" s="79"/>
      <c r="AZ142" s="13"/>
      <c r="BA142" s="13"/>
    </row>
    <row r="143" spans="1:55" s="14" customFormat="1" ht="47.25" x14ac:dyDescent="0.25">
      <c r="A143" s="3" t="s">
        <v>108</v>
      </c>
      <c r="B143" s="4" t="s">
        <v>133</v>
      </c>
      <c r="C143" s="57"/>
      <c r="D143" s="58"/>
      <c r="E143" s="59"/>
      <c r="F143" s="57"/>
      <c r="G143" s="101">
        <f t="shared" ref="G143:AT143" si="187">SUM(G144:G155)</f>
        <v>85030</v>
      </c>
      <c r="H143" s="101">
        <f t="shared" si="187"/>
        <v>84670</v>
      </c>
      <c r="I143" s="101">
        <f t="shared" si="187"/>
        <v>0</v>
      </c>
      <c r="J143" s="101">
        <f t="shared" si="187"/>
        <v>0</v>
      </c>
      <c r="K143" s="101">
        <f t="shared" si="187"/>
        <v>0</v>
      </c>
      <c r="L143" s="101">
        <f t="shared" si="187"/>
        <v>0</v>
      </c>
      <c r="M143" s="101">
        <f t="shared" si="187"/>
        <v>0</v>
      </c>
      <c r="N143" s="101">
        <f t="shared" si="187"/>
        <v>0</v>
      </c>
      <c r="O143" s="101">
        <f t="shared" si="187"/>
        <v>0</v>
      </c>
      <c r="P143" s="101">
        <f t="shared" si="187"/>
        <v>82720</v>
      </c>
      <c r="Q143" s="101">
        <f t="shared" si="187"/>
        <v>82720</v>
      </c>
      <c r="R143" s="101">
        <f t="shared" si="187"/>
        <v>0</v>
      </c>
      <c r="S143" s="101">
        <f t="shared" si="187"/>
        <v>0</v>
      </c>
      <c r="T143" s="101">
        <f t="shared" si="187"/>
        <v>65720</v>
      </c>
      <c r="U143" s="101">
        <f t="shared" si="187"/>
        <v>65720</v>
      </c>
      <c r="V143" s="101">
        <f t="shared" si="187"/>
        <v>0</v>
      </c>
      <c r="W143" s="101">
        <f t="shared" si="187"/>
        <v>0</v>
      </c>
      <c r="X143" s="101">
        <f t="shared" si="187"/>
        <v>85270</v>
      </c>
      <c r="Y143" s="101">
        <f t="shared" si="187"/>
        <v>84920</v>
      </c>
      <c r="Z143" s="101">
        <f t="shared" si="187"/>
        <v>0</v>
      </c>
      <c r="AA143" s="101">
        <f t="shared" si="187"/>
        <v>0</v>
      </c>
      <c r="AB143" s="101">
        <f t="shared" si="187"/>
        <v>24140</v>
      </c>
      <c r="AC143" s="101">
        <f t="shared" si="187"/>
        <v>-4940</v>
      </c>
      <c r="AD143" s="101">
        <f t="shared" si="187"/>
        <v>2292</v>
      </c>
      <c r="AE143" s="101">
        <f t="shared" si="187"/>
        <v>2292</v>
      </c>
      <c r="AF143" s="101">
        <f t="shared" si="187"/>
        <v>0</v>
      </c>
      <c r="AG143" s="101">
        <f t="shared" si="187"/>
        <v>0</v>
      </c>
      <c r="AH143" s="101">
        <f t="shared" si="187"/>
        <v>14625</v>
      </c>
      <c r="AI143" s="101">
        <f t="shared" si="187"/>
        <v>14625</v>
      </c>
      <c r="AJ143" s="101">
        <f t="shared" si="187"/>
        <v>0</v>
      </c>
      <c r="AK143" s="101">
        <f t="shared" si="187"/>
        <v>0</v>
      </c>
      <c r="AL143" s="101">
        <f t="shared" si="187"/>
        <v>300</v>
      </c>
      <c r="AM143" s="101">
        <f t="shared" si="187"/>
        <v>85070</v>
      </c>
      <c r="AN143" s="101">
        <f t="shared" si="187"/>
        <v>84620</v>
      </c>
      <c r="AO143" s="101">
        <f t="shared" si="187"/>
        <v>0</v>
      </c>
      <c r="AP143" s="101">
        <f t="shared" si="187"/>
        <v>0</v>
      </c>
      <c r="AQ143" s="101">
        <f t="shared" si="187"/>
        <v>0</v>
      </c>
      <c r="AR143" s="101">
        <f t="shared" si="187"/>
        <v>193.00000000000017</v>
      </c>
      <c r="AS143" s="101">
        <f t="shared" si="187"/>
        <v>84816.9</v>
      </c>
      <c r="AT143" s="102">
        <f t="shared" si="187"/>
        <v>84426.9</v>
      </c>
      <c r="AU143" s="37"/>
      <c r="AV143" s="37"/>
      <c r="AW143" s="141"/>
      <c r="AX143" s="79"/>
      <c r="AY143" s="117"/>
      <c r="AZ143" s="13"/>
      <c r="BA143" s="13"/>
    </row>
    <row r="144" spans="1:55" s="14" customFormat="1" ht="47.25" x14ac:dyDescent="0.25">
      <c r="A144" s="6">
        <v>1</v>
      </c>
      <c r="B144" s="189" t="s">
        <v>341</v>
      </c>
      <c r="C144" s="41" t="s">
        <v>43</v>
      </c>
      <c r="D144" s="62" t="s">
        <v>342</v>
      </c>
      <c r="E144" s="242" t="s">
        <v>325</v>
      </c>
      <c r="F144" s="6" t="s">
        <v>343</v>
      </c>
      <c r="G144" s="17">
        <v>2300</v>
      </c>
      <c r="H144" s="17">
        <v>2300</v>
      </c>
      <c r="I144" s="37"/>
      <c r="J144" s="37"/>
      <c r="K144" s="37"/>
      <c r="L144" s="17">
        <v>0</v>
      </c>
      <c r="M144" s="17">
        <v>0</v>
      </c>
      <c r="N144" s="17">
        <v>0</v>
      </c>
      <c r="O144" s="17"/>
      <c r="P144" s="17">
        <v>2300</v>
      </c>
      <c r="Q144" s="17">
        <v>2300</v>
      </c>
      <c r="R144" s="17"/>
      <c r="S144" s="17"/>
      <c r="T144" s="17">
        <v>2300</v>
      </c>
      <c r="U144" s="17">
        <v>2300</v>
      </c>
      <c r="V144" s="17"/>
      <c r="W144" s="17"/>
      <c r="X144" s="17">
        <f>Y144</f>
        <v>2150</v>
      </c>
      <c r="Y144" s="17">
        <v>2150</v>
      </c>
      <c r="Z144" s="17"/>
      <c r="AA144" s="17"/>
      <c r="AB144" s="17"/>
      <c r="AC144" s="17">
        <f t="shared" ref="AC144:AC150" si="188">Y144-U144</f>
        <v>-150</v>
      </c>
      <c r="AD144" s="17">
        <f t="shared" ref="AD144:AD149" si="189">AE144</f>
        <v>850</v>
      </c>
      <c r="AE144" s="17">
        <v>850</v>
      </c>
      <c r="AF144" s="17"/>
      <c r="AG144" s="17"/>
      <c r="AH144" s="17">
        <f>AI144</f>
        <v>1300</v>
      </c>
      <c r="AI144" s="17">
        <v>1300</v>
      </c>
      <c r="AJ144" s="17"/>
      <c r="AK144" s="17"/>
      <c r="AL144" s="17"/>
      <c r="AM144" s="17">
        <f>AN144</f>
        <v>2150</v>
      </c>
      <c r="AN144" s="17">
        <v>2150</v>
      </c>
      <c r="AO144" s="17"/>
      <c r="AP144" s="17"/>
      <c r="AQ144" s="17"/>
      <c r="AR144" s="391">
        <v>58.300000000000182</v>
      </c>
      <c r="AS144" s="391">
        <f>AT144</f>
        <v>2091.6999999999998</v>
      </c>
      <c r="AT144" s="391">
        <f>AN144-AR144</f>
        <v>2091.6999999999998</v>
      </c>
      <c r="AU144" s="17"/>
      <c r="AV144" s="17"/>
      <c r="AW144" s="149"/>
      <c r="AX144" s="245"/>
      <c r="AY144" s="246"/>
      <c r="AZ144" s="13"/>
      <c r="BA144" s="13"/>
    </row>
    <row r="145" spans="1:54" s="14" customFormat="1" ht="110.25" x14ac:dyDescent="0.25">
      <c r="A145" s="6">
        <v>2</v>
      </c>
      <c r="B145" s="189" t="s">
        <v>344</v>
      </c>
      <c r="C145" s="41" t="s">
        <v>42</v>
      </c>
      <c r="D145" s="6" t="s">
        <v>345</v>
      </c>
      <c r="E145" s="242" t="s">
        <v>120</v>
      </c>
      <c r="F145" s="247" t="s">
        <v>569</v>
      </c>
      <c r="G145" s="17">
        <v>2420</v>
      </c>
      <c r="H145" s="17">
        <v>2420</v>
      </c>
      <c r="I145" s="37"/>
      <c r="J145" s="37"/>
      <c r="K145" s="37"/>
      <c r="L145" s="17">
        <v>0</v>
      </c>
      <c r="M145" s="17">
        <v>0</v>
      </c>
      <c r="N145" s="17">
        <v>0</v>
      </c>
      <c r="O145" s="17"/>
      <c r="P145" s="17">
        <v>2420</v>
      </c>
      <c r="Q145" s="17">
        <v>2420</v>
      </c>
      <c r="R145" s="17"/>
      <c r="S145" s="17"/>
      <c r="T145" s="17">
        <v>2420</v>
      </c>
      <c r="U145" s="17">
        <v>2420</v>
      </c>
      <c r="V145" s="17"/>
      <c r="W145" s="17"/>
      <c r="X145" s="17">
        <f>Y145</f>
        <v>2420</v>
      </c>
      <c r="Y145" s="17">
        <v>2420</v>
      </c>
      <c r="Z145" s="17"/>
      <c r="AA145" s="17"/>
      <c r="AB145" s="17"/>
      <c r="AC145" s="17">
        <f t="shared" si="188"/>
        <v>0</v>
      </c>
      <c r="AD145" s="17">
        <f t="shared" si="189"/>
        <v>850</v>
      </c>
      <c r="AE145" s="17">
        <v>850</v>
      </c>
      <c r="AF145" s="17"/>
      <c r="AG145" s="17"/>
      <c r="AH145" s="17">
        <f t="shared" ref="AH145:AH150" si="190">AI145</f>
        <v>1570</v>
      </c>
      <c r="AI145" s="17">
        <v>1570</v>
      </c>
      <c r="AJ145" s="17"/>
      <c r="AK145" s="17"/>
      <c r="AL145" s="17"/>
      <c r="AM145" s="17">
        <v>2420</v>
      </c>
      <c r="AN145" s="17">
        <v>2420</v>
      </c>
      <c r="AO145" s="17"/>
      <c r="AP145" s="17"/>
      <c r="AQ145" s="17"/>
      <c r="AR145" s="391">
        <v>119</v>
      </c>
      <c r="AS145" s="391">
        <f>AT145</f>
        <v>2301</v>
      </c>
      <c r="AT145" s="391">
        <f>AN145-AR145</f>
        <v>2301</v>
      </c>
      <c r="AU145" s="17"/>
      <c r="AV145" s="17"/>
      <c r="AW145" s="149"/>
      <c r="AX145" s="245"/>
      <c r="AY145" s="246"/>
      <c r="AZ145" s="13"/>
      <c r="BA145" s="13"/>
    </row>
    <row r="146" spans="1:54" s="14" customFormat="1" ht="63" x14ac:dyDescent="0.25">
      <c r="A146" s="6">
        <v>3</v>
      </c>
      <c r="B146" s="248" t="s">
        <v>346</v>
      </c>
      <c r="C146" s="41" t="s">
        <v>51</v>
      </c>
      <c r="D146" s="41" t="s">
        <v>347</v>
      </c>
      <c r="E146" s="63" t="s">
        <v>348</v>
      </c>
      <c r="F146" s="247" t="s">
        <v>349</v>
      </c>
      <c r="G146" s="17">
        <v>3000</v>
      </c>
      <c r="H146" s="17">
        <v>2960</v>
      </c>
      <c r="I146" s="37"/>
      <c r="J146" s="37"/>
      <c r="K146" s="37"/>
      <c r="L146" s="17"/>
      <c r="M146" s="17"/>
      <c r="N146" s="17"/>
      <c r="O146" s="17"/>
      <c r="P146" s="17">
        <v>4500</v>
      </c>
      <c r="Q146" s="17">
        <v>4500</v>
      </c>
      <c r="R146" s="17"/>
      <c r="S146" s="17"/>
      <c r="T146" s="17">
        <v>4500</v>
      </c>
      <c r="U146" s="17">
        <v>4500</v>
      </c>
      <c r="V146" s="17"/>
      <c r="W146" s="17"/>
      <c r="X146" s="17">
        <v>3000</v>
      </c>
      <c r="Y146" s="17">
        <v>2960</v>
      </c>
      <c r="Z146" s="17"/>
      <c r="AA146" s="17"/>
      <c r="AB146" s="17"/>
      <c r="AC146" s="17">
        <f t="shared" si="188"/>
        <v>-1540</v>
      </c>
      <c r="AD146" s="17">
        <f t="shared" si="189"/>
        <v>115</v>
      </c>
      <c r="AE146" s="17">
        <v>115</v>
      </c>
      <c r="AF146" s="17"/>
      <c r="AG146" s="17"/>
      <c r="AH146" s="17">
        <f t="shared" si="190"/>
        <v>2500</v>
      </c>
      <c r="AI146" s="17">
        <v>2500</v>
      </c>
      <c r="AJ146" s="17"/>
      <c r="AK146" s="17"/>
      <c r="AL146" s="17"/>
      <c r="AM146" s="17">
        <f>AN146+40</f>
        <v>3000</v>
      </c>
      <c r="AN146" s="17">
        <v>2960</v>
      </c>
      <c r="AO146" s="17"/>
      <c r="AP146" s="17"/>
      <c r="AQ146" s="17"/>
      <c r="AR146" s="17"/>
      <c r="AS146" s="17">
        <f>AT146</f>
        <v>2960</v>
      </c>
      <c r="AT146" s="17">
        <v>2960</v>
      </c>
      <c r="AU146" s="17"/>
      <c r="AV146" s="17"/>
      <c r="AW146" s="10"/>
      <c r="AX146" s="11"/>
      <c r="AY146" s="246"/>
      <c r="AZ146" s="249"/>
      <c r="BA146" s="13"/>
    </row>
    <row r="147" spans="1:54" s="14" customFormat="1" ht="63" x14ac:dyDescent="0.25">
      <c r="A147" s="6">
        <v>4</v>
      </c>
      <c r="B147" s="248" t="s">
        <v>350</v>
      </c>
      <c r="C147" s="41" t="s">
        <v>48</v>
      </c>
      <c r="D147" s="41" t="s">
        <v>347</v>
      </c>
      <c r="E147" s="63" t="s">
        <v>348</v>
      </c>
      <c r="F147" s="247" t="s">
        <v>351</v>
      </c>
      <c r="G147" s="17">
        <v>3000</v>
      </c>
      <c r="H147" s="17">
        <v>2960</v>
      </c>
      <c r="I147" s="17"/>
      <c r="J147" s="17"/>
      <c r="K147" s="17"/>
      <c r="L147" s="17"/>
      <c r="M147" s="17"/>
      <c r="N147" s="17"/>
      <c r="O147" s="17"/>
      <c r="P147" s="17">
        <v>4500</v>
      </c>
      <c r="Q147" s="17">
        <v>4500</v>
      </c>
      <c r="R147" s="17"/>
      <c r="S147" s="17"/>
      <c r="T147" s="17">
        <v>4500</v>
      </c>
      <c r="U147" s="17">
        <v>4500</v>
      </c>
      <c r="V147" s="17"/>
      <c r="W147" s="17"/>
      <c r="X147" s="17">
        <v>3000</v>
      </c>
      <c r="Y147" s="17">
        <v>2960</v>
      </c>
      <c r="Z147" s="17"/>
      <c r="AA147" s="17"/>
      <c r="AB147" s="17"/>
      <c r="AC147" s="17">
        <f>Y147-U147</f>
        <v>-1540</v>
      </c>
      <c r="AD147" s="17">
        <f>AE147</f>
        <v>117</v>
      </c>
      <c r="AE147" s="17">
        <v>117</v>
      </c>
      <c r="AF147" s="17"/>
      <c r="AG147" s="17"/>
      <c r="AH147" s="17">
        <f>AI147</f>
        <v>2500</v>
      </c>
      <c r="AI147" s="17">
        <v>2500</v>
      </c>
      <c r="AJ147" s="17"/>
      <c r="AK147" s="17"/>
      <c r="AL147" s="17"/>
      <c r="AM147" s="17">
        <f>AN147+40</f>
        <v>3000</v>
      </c>
      <c r="AN147" s="17">
        <v>2960</v>
      </c>
      <c r="AO147" s="17"/>
      <c r="AP147" s="17"/>
      <c r="AQ147" s="17"/>
      <c r="AR147" s="17"/>
      <c r="AS147" s="17">
        <f>AT147+40</f>
        <v>2999.9</v>
      </c>
      <c r="AT147" s="17">
        <v>2959.9</v>
      </c>
      <c r="AU147" s="17"/>
      <c r="AV147" s="17"/>
      <c r="AW147" s="10"/>
      <c r="AX147" s="11"/>
      <c r="AY147" s="246"/>
      <c r="AZ147" s="249"/>
      <c r="BA147" s="13"/>
    </row>
    <row r="148" spans="1:54" s="14" customFormat="1" ht="63" x14ac:dyDescent="0.25">
      <c r="A148" s="6">
        <v>5</v>
      </c>
      <c r="B148" s="248" t="s">
        <v>352</v>
      </c>
      <c r="C148" s="41" t="s">
        <v>353</v>
      </c>
      <c r="D148" s="41" t="s">
        <v>354</v>
      </c>
      <c r="E148" s="63" t="s">
        <v>355</v>
      </c>
      <c r="F148" s="247" t="s">
        <v>356</v>
      </c>
      <c r="G148" s="17">
        <v>8500</v>
      </c>
      <c r="H148" s="17">
        <v>8450</v>
      </c>
      <c r="I148" s="17"/>
      <c r="J148" s="17"/>
      <c r="K148" s="17"/>
      <c r="L148" s="17"/>
      <c r="M148" s="17"/>
      <c r="N148" s="17"/>
      <c r="O148" s="17"/>
      <c r="P148" s="17">
        <v>8500</v>
      </c>
      <c r="Q148" s="17">
        <v>8500</v>
      </c>
      <c r="R148" s="17"/>
      <c r="S148" s="17"/>
      <c r="T148" s="17">
        <v>8500</v>
      </c>
      <c r="U148" s="17">
        <v>8500</v>
      </c>
      <c r="V148" s="17"/>
      <c r="W148" s="17"/>
      <c r="X148" s="17">
        <v>8500</v>
      </c>
      <c r="Y148" s="17">
        <v>8450</v>
      </c>
      <c r="Z148" s="17"/>
      <c r="AA148" s="17"/>
      <c r="AB148" s="17"/>
      <c r="AC148" s="17">
        <f t="shared" si="188"/>
        <v>-50</v>
      </c>
      <c r="AD148" s="17">
        <f t="shared" si="189"/>
        <v>210</v>
      </c>
      <c r="AE148" s="17">
        <v>210</v>
      </c>
      <c r="AF148" s="17"/>
      <c r="AG148" s="17"/>
      <c r="AH148" s="17">
        <f t="shared" si="190"/>
        <v>3100</v>
      </c>
      <c r="AI148" s="17">
        <v>3100</v>
      </c>
      <c r="AJ148" s="17"/>
      <c r="AK148" s="17"/>
      <c r="AL148" s="17"/>
      <c r="AM148" s="17">
        <f>AN148+50</f>
        <v>8500</v>
      </c>
      <c r="AN148" s="17">
        <v>8450</v>
      </c>
      <c r="AO148" s="17"/>
      <c r="AP148" s="17"/>
      <c r="AQ148" s="17"/>
      <c r="AR148" s="17"/>
      <c r="AS148" s="17">
        <f>AT148+50</f>
        <v>8500</v>
      </c>
      <c r="AT148" s="17">
        <v>8450</v>
      </c>
      <c r="AU148" s="17"/>
      <c r="AV148" s="17"/>
      <c r="AW148" s="10"/>
      <c r="AX148" s="11"/>
      <c r="AY148" s="246"/>
      <c r="AZ148" s="249"/>
      <c r="BA148" s="13"/>
    </row>
    <row r="149" spans="1:54" s="14" customFormat="1" ht="63" x14ac:dyDescent="0.25">
      <c r="A149" s="6">
        <v>6</v>
      </c>
      <c r="B149" s="248" t="s">
        <v>357</v>
      </c>
      <c r="C149" s="41" t="s">
        <v>358</v>
      </c>
      <c r="D149" s="41" t="s">
        <v>359</v>
      </c>
      <c r="E149" s="63" t="s">
        <v>355</v>
      </c>
      <c r="F149" s="247" t="s">
        <v>360</v>
      </c>
      <c r="G149" s="17">
        <v>6000</v>
      </c>
      <c r="H149" s="17">
        <v>5950</v>
      </c>
      <c r="I149" s="17"/>
      <c r="J149" s="17"/>
      <c r="K149" s="17"/>
      <c r="L149" s="17"/>
      <c r="M149" s="17"/>
      <c r="N149" s="17"/>
      <c r="O149" s="17"/>
      <c r="P149" s="17">
        <v>6000</v>
      </c>
      <c r="Q149" s="17">
        <v>6000</v>
      </c>
      <c r="R149" s="17"/>
      <c r="S149" s="17"/>
      <c r="T149" s="17">
        <v>6000</v>
      </c>
      <c r="U149" s="17">
        <v>6000</v>
      </c>
      <c r="V149" s="17"/>
      <c r="W149" s="17"/>
      <c r="X149" s="17">
        <v>6000</v>
      </c>
      <c r="Y149" s="17">
        <v>5950</v>
      </c>
      <c r="Z149" s="17"/>
      <c r="AA149" s="17"/>
      <c r="AB149" s="17"/>
      <c r="AC149" s="17">
        <f t="shared" si="188"/>
        <v>-50</v>
      </c>
      <c r="AD149" s="17">
        <f t="shared" si="189"/>
        <v>150</v>
      </c>
      <c r="AE149" s="17">
        <v>150</v>
      </c>
      <c r="AF149" s="17"/>
      <c r="AG149" s="17"/>
      <c r="AH149" s="17">
        <f t="shared" si="190"/>
        <v>2155</v>
      </c>
      <c r="AI149" s="17">
        <v>2155</v>
      </c>
      <c r="AJ149" s="17"/>
      <c r="AK149" s="17"/>
      <c r="AL149" s="17"/>
      <c r="AM149" s="17">
        <f>AN149+50</f>
        <v>6000</v>
      </c>
      <c r="AN149" s="17">
        <v>5950</v>
      </c>
      <c r="AO149" s="17"/>
      <c r="AP149" s="17"/>
      <c r="AQ149" s="17"/>
      <c r="AR149" s="17">
        <v>6</v>
      </c>
      <c r="AS149" s="17">
        <f>AT149+50</f>
        <v>5994</v>
      </c>
      <c r="AT149" s="17">
        <f>AN149-AR149</f>
        <v>5944</v>
      </c>
      <c r="AU149" s="17"/>
      <c r="AV149" s="17"/>
      <c r="AW149" s="10"/>
      <c r="AX149" s="11"/>
      <c r="AY149" s="246"/>
      <c r="AZ149" s="249"/>
      <c r="BA149" s="13"/>
    </row>
    <row r="150" spans="1:54" s="14" customFormat="1" ht="63" x14ac:dyDescent="0.25">
      <c r="A150" s="6">
        <v>7</v>
      </c>
      <c r="B150" s="66" t="s">
        <v>361</v>
      </c>
      <c r="C150" s="41" t="s">
        <v>47</v>
      </c>
      <c r="D150" s="41" t="s">
        <v>362</v>
      </c>
      <c r="E150" s="63" t="s">
        <v>154</v>
      </c>
      <c r="F150" s="247" t="s">
        <v>363</v>
      </c>
      <c r="G150" s="17">
        <v>11980</v>
      </c>
      <c r="H150" s="17">
        <v>11930</v>
      </c>
      <c r="I150" s="17"/>
      <c r="J150" s="17"/>
      <c r="K150" s="17"/>
      <c r="L150" s="17"/>
      <c r="M150" s="17"/>
      <c r="N150" s="17"/>
      <c r="O150" s="17"/>
      <c r="P150" s="17">
        <v>12000</v>
      </c>
      <c r="Q150" s="17">
        <v>12000</v>
      </c>
      <c r="R150" s="17"/>
      <c r="S150" s="17"/>
      <c r="T150" s="17">
        <v>12000</v>
      </c>
      <c r="U150" s="17">
        <v>12000</v>
      </c>
      <c r="V150" s="17"/>
      <c r="W150" s="17"/>
      <c r="X150" s="17">
        <v>12000</v>
      </c>
      <c r="Y150" s="17">
        <v>11930</v>
      </c>
      <c r="Z150" s="17"/>
      <c r="AA150" s="17"/>
      <c r="AB150" s="17"/>
      <c r="AC150" s="17">
        <f t="shared" si="188"/>
        <v>-70</v>
      </c>
      <c r="AD150" s="17"/>
      <c r="AE150" s="17"/>
      <c r="AF150" s="17"/>
      <c r="AG150" s="17"/>
      <c r="AH150" s="17">
        <f t="shared" si="190"/>
        <v>500</v>
      </c>
      <c r="AI150" s="17">
        <v>500</v>
      </c>
      <c r="AJ150" s="17"/>
      <c r="AK150" s="17"/>
      <c r="AL150" s="17"/>
      <c r="AM150" s="17">
        <f>AN150+70</f>
        <v>12000</v>
      </c>
      <c r="AN150" s="17">
        <v>11930</v>
      </c>
      <c r="AO150" s="17"/>
      <c r="AP150" s="17"/>
      <c r="AQ150" s="17"/>
      <c r="AR150" s="17"/>
      <c r="AS150" s="17">
        <f>AT150+70</f>
        <v>12000</v>
      </c>
      <c r="AT150" s="17">
        <v>11930</v>
      </c>
      <c r="AU150" s="17"/>
      <c r="AV150" s="17"/>
      <c r="AW150" s="10"/>
      <c r="AX150" s="11"/>
      <c r="AZ150" s="13"/>
      <c r="BA150" s="13"/>
    </row>
    <row r="151" spans="1:54" s="14" customFormat="1" ht="63" x14ac:dyDescent="0.25">
      <c r="A151" s="6">
        <v>8</v>
      </c>
      <c r="B151" s="250" t="s">
        <v>364</v>
      </c>
      <c r="C151" s="41" t="s">
        <v>42</v>
      </c>
      <c r="D151" s="41" t="s">
        <v>365</v>
      </c>
      <c r="E151" s="63" t="s">
        <v>154</v>
      </c>
      <c r="F151" s="247" t="s">
        <v>366</v>
      </c>
      <c r="G151" s="17">
        <v>10950</v>
      </c>
      <c r="H151" s="17">
        <v>10930</v>
      </c>
      <c r="I151" s="17"/>
      <c r="J151" s="17"/>
      <c r="K151" s="17"/>
      <c r="L151" s="17"/>
      <c r="M151" s="17"/>
      <c r="N151" s="17"/>
      <c r="O151" s="17"/>
      <c r="P151" s="17"/>
      <c r="Q151" s="17"/>
      <c r="R151" s="17"/>
      <c r="S151" s="17"/>
      <c r="T151" s="17">
        <f>U151</f>
        <v>0</v>
      </c>
      <c r="U151" s="17">
        <v>0</v>
      </c>
      <c r="V151" s="17"/>
      <c r="W151" s="17"/>
      <c r="X151" s="17">
        <v>11200</v>
      </c>
      <c r="Y151" s="17">
        <v>11180</v>
      </c>
      <c r="Z151" s="17"/>
      <c r="AA151" s="17"/>
      <c r="AB151" s="17">
        <f>Y151-U151</f>
        <v>11180</v>
      </c>
      <c r="AC151" s="17"/>
      <c r="AD151" s="17"/>
      <c r="AE151" s="17"/>
      <c r="AF151" s="17"/>
      <c r="AG151" s="17"/>
      <c r="AH151" s="17">
        <f>AI151</f>
        <v>500</v>
      </c>
      <c r="AI151" s="17">
        <v>500</v>
      </c>
      <c r="AJ151" s="17"/>
      <c r="AK151" s="17"/>
      <c r="AL151" s="17">
        <f>Y151-AN151</f>
        <v>250</v>
      </c>
      <c r="AM151" s="17">
        <f>AN151+70</f>
        <v>11000</v>
      </c>
      <c r="AN151" s="17">
        <v>10930</v>
      </c>
      <c r="AO151" s="17"/>
      <c r="AP151" s="17"/>
      <c r="AQ151" s="391"/>
      <c r="AR151" s="391"/>
      <c r="AS151" s="391">
        <f>AT151+70</f>
        <v>11000</v>
      </c>
      <c r="AT151" s="397">
        <v>10930</v>
      </c>
      <c r="AU151" s="17"/>
      <c r="AV151" s="17"/>
      <c r="AW151" s="10"/>
      <c r="AX151" s="19"/>
      <c r="AZ151" s="13">
        <v>1</v>
      </c>
      <c r="BA151" s="13"/>
    </row>
    <row r="152" spans="1:54" s="14" customFormat="1" ht="63" x14ac:dyDescent="0.25">
      <c r="A152" s="6">
        <v>9</v>
      </c>
      <c r="B152" s="66" t="s">
        <v>367</v>
      </c>
      <c r="C152" s="41" t="s">
        <v>42</v>
      </c>
      <c r="D152" s="41" t="s">
        <v>368</v>
      </c>
      <c r="E152" s="63" t="s">
        <v>154</v>
      </c>
      <c r="F152" s="247" t="s">
        <v>369</v>
      </c>
      <c r="G152" s="17">
        <v>11980</v>
      </c>
      <c r="H152" s="17">
        <v>11930</v>
      </c>
      <c r="I152" s="17"/>
      <c r="J152" s="17"/>
      <c r="K152" s="17"/>
      <c r="L152" s="17"/>
      <c r="M152" s="17"/>
      <c r="N152" s="17"/>
      <c r="O152" s="17"/>
      <c r="P152" s="17">
        <v>15000</v>
      </c>
      <c r="Q152" s="17">
        <v>15000</v>
      </c>
      <c r="R152" s="17"/>
      <c r="S152" s="17"/>
      <c r="T152" s="17">
        <f>U152</f>
        <v>0</v>
      </c>
      <c r="U152" s="17">
        <v>0</v>
      </c>
      <c r="V152" s="17"/>
      <c r="W152" s="17"/>
      <c r="X152" s="17">
        <v>12000</v>
      </c>
      <c r="Y152" s="17">
        <v>11980</v>
      </c>
      <c r="Z152" s="17"/>
      <c r="AA152" s="17"/>
      <c r="AB152" s="17">
        <f>Y152-U152</f>
        <v>11980</v>
      </c>
      <c r="AC152" s="17"/>
      <c r="AD152" s="17"/>
      <c r="AE152" s="17"/>
      <c r="AF152" s="17"/>
      <c r="AG152" s="17"/>
      <c r="AH152" s="17">
        <f>AI152</f>
        <v>500</v>
      </c>
      <c r="AI152" s="17">
        <v>500</v>
      </c>
      <c r="AJ152" s="17"/>
      <c r="AK152" s="17"/>
      <c r="AL152" s="17">
        <f>Y152-AN152</f>
        <v>50</v>
      </c>
      <c r="AM152" s="17">
        <f>AN152+70</f>
        <v>12000</v>
      </c>
      <c r="AN152" s="17">
        <v>11930</v>
      </c>
      <c r="AO152" s="17"/>
      <c r="AP152" s="17"/>
      <c r="AQ152" s="17"/>
      <c r="AR152" s="17">
        <v>9.7000000000000011</v>
      </c>
      <c r="AS152" s="17">
        <f>AT152+70</f>
        <v>11990.3</v>
      </c>
      <c r="AT152" s="17">
        <f>AN152-AR152</f>
        <v>11920.3</v>
      </c>
      <c r="AU152" s="17"/>
      <c r="AV152" s="17"/>
      <c r="AW152" s="10"/>
      <c r="AX152" s="19"/>
      <c r="AZ152" s="13">
        <v>1</v>
      </c>
      <c r="BA152" s="13"/>
    </row>
    <row r="153" spans="1:54" s="14" customFormat="1" ht="47.25" x14ac:dyDescent="0.25">
      <c r="A153" s="6">
        <v>10</v>
      </c>
      <c r="B153" s="66" t="s">
        <v>370</v>
      </c>
      <c r="C153" s="41" t="s">
        <v>44</v>
      </c>
      <c r="D153" s="41" t="s">
        <v>371</v>
      </c>
      <c r="E153" s="1" t="s">
        <v>61</v>
      </c>
      <c r="F153" s="1" t="s">
        <v>557</v>
      </c>
      <c r="G153" s="33">
        <v>3000</v>
      </c>
      <c r="H153" s="33">
        <v>2980</v>
      </c>
      <c r="I153" s="37"/>
      <c r="J153" s="37"/>
      <c r="K153" s="37"/>
      <c r="L153" s="17"/>
      <c r="M153" s="17"/>
      <c r="N153" s="17"/>
      <c r="O153" s="17"/>
      <c r="P153" s="17">
        <v>4500</v>
      </c>
      <c r="Q153" s="17">
        <v>4500</v>
      </c>
      <c r="R153" s="17"/>
      <c r="S153" s="17"/>
      <c r="T153" s="17">
        <v>4500</v>
      </c>
      <c r="U153" s="17">
        <v>4500</v>
      </c>
      <c r="V153" s="17"/>
      <c r="W153" s="17"/>
      <c r="X153" s="44">
        <v>3000</v>
      </c>
      <c r="Y153" s="44">
        <v>2980</v>
      </c>
      <c r="Z153" s="17"/>
      <c r="AA153" s="17"/>
      <c r="AB153" s="17"/>
      <c r="AC153" s="37">
        <f>Y153-U153</f>
        <v>-1520</v>
      </c>
      <c r="AD153" s="17"/>
      <c r="AE153" s="17"/>
      <c r="AF153" s="17"/>
      <c r="AG153" s="17"/>
      <c r="AH153" s="17"/>
      <c r="AI153" s="17"/>
      <c r="AJ153" s="17"/>
      <c r="AK153" s="17"/>
      <c r="AL153" s="17"/>
      <c r="AM153" s="17">
        <f>AN153+20</f>
        <v>3000</v>
      </c>
      <c r="AN153" s="17">
        <v>2980</v>
      </c>
      <c r="AO153" s="17"/>
      <c r="AP153" s="17"/>
      <c r="AQ153" s="17"/>
      <c r="AR153" s="17"/>
      <c r="AS153" s="17">
        <f>AT153+20</f>
        <v>3000</v>
      </c>
      <c r="AT153" s="17">
        <v>2980</v>
      </c>
      <c r="AU153" s="17"/>
      <c r="AV153" s="17"/>
      <c r="AW153" s="10"/>
      <c r="AX153" s="19"/>
      <c r="AZ153" s="13"/>
      <c r="BA153" s="13"/>
    </row>
    <row r="154" spans="1:54" s="14" customFormat="1" ht="47.25" x14ac:dyDescent="0.25">
      <c r="A154" s="6">
        <v>11</v>
      </c>
      <c r="B154" s="66" t="s">
        <v>372</v>
      </c>
      <c r="C154" s="41" t="s">
        <v>41</v>
      </c>
      <c r="D154" s="41"/>
      <c r="E154" s="1" t="s">
        <v>61</v>
      </c>
      <c r="F154" s="1" t="s">
        <v>558</v>
      </c>
      <c r="G154" s="33">
        <v>14900</v>
      </c>
      <c r="H154" s="33">
        <v>14880</v>
      </c>
      <c r="I154" s="37"/>
      <c r="J154" s="37"/>
      <c r="K154" s="37"/>
      <c r="L154" s="17"/>
      <c r="M154" s="17"/>
      <c r="N154" s="17"/>
      <c r="O154" s="17"/>
      <c r="P154" s="17">
        <v>15000</v>
      </c>
      <c r="Q154" s="17">
        <v>15000</v>
      </c>
      <c r="R154" s="17"/>
      <c r="S154" s="17"/>
      <c r="T154" s="17">
        <v>15000</v>
      </c>
      <c r="U154" s="17">
        <v>15000</v>
      </c>
      <c r="V154" s="17"/>
      <c r="W154" s="17"/>
      <c r="X154" s="44">
        <v>15000</v>
      </c>
      <c r="Y154" s="44">
        <v>14980</v>
      </c>
      <c r="Z154" s="17"/>
      <c r="AA154" s="17"/>
      <c r="AB154" s="17"/>
      <c r="AC154" s="37">
        <f>Y154-U154</f>
        <v>-20</v>
      </c>
      <c r="AD154" s="17"/>
      <c r="AE154" s="17"/>
      <c r="AF154" s="17"/>
      <c r="AG154" s="17"/>
      <c r="AH154" s="17"/>
      <c r="AI154" s="17"/>
      <c r="AJ154" s="17"/>
      <c r="AK154" s="17"/>
      <c r="AL154" s="17"/>
      <c r="AM154" s="17">
        <f>AN154+20</f>
        <v>15000</v>
      </c>
      <c r="AN154" s="17">
        <v>14980</v>
      </c>
      <c r="AO154" s="17"/>
      <c r="AP154" s="17"/>
      <c r="AQ154" s="17"/>
      <c r="AR154" s="17"/>
      <c r="AS154" s="17">
        <f>AT154+20</f>
        <v>15000</v>
      </c>
      <c r="AT154" s="17">
        <v>14980</v>
      </c>
      <c r="AU154" s="17"/>
      <c r="AV154" s="17"/>
      <c r="AW154" s="141"/>
      <c r="AX154" s="79"/>
      <c r="AZ154" s="13"/>
      <c r="BA154" s="13"/>
    </row>
    <row r="155" spans="1:54" s="14" customFormat="1" ht="69" customHeight="1" x14ac:dyDescent="0.25">
      <c r="A155" s="6">
        <v>12</v>
      </c>
      <c r="B155" s="250" t="s">
        <v>373</v>
      </c>
      <c r="C155" s="41" t="s">
        <v>48</v>
      </c>
      <c r="D155" s="41" t="s">
        <v>374</v>
      </c>
      <c r="E155" s="1" t="s">
        <v>61</v>
      </c>
      <c r="F155" s="1" t="s">
        <v>559</v>
      </c>
      <c r="G155" s="33">
        <v>7000</v>
      </c>
      <c r="H155" s="33">
        <v>6980</v>
      </c>
      <c r="I155" s="37"/>
      <c r="J155" s="37"/>
      <c r="K155" s="37"/>
      <c r="L155" s="17"/>
      <c r="M155" s="17"/>
      <c r="N155" s="17"/>
      <c r="O155" s="17"/>
      <c r="P155" s="17">
        <f>Q155</f>
        <v>8000</v>
      </c>
      <c r="Q155" s="17">
        <v>8000</v>
      </c>
      <c r="R155" s="17"/>
      <c r="S155" s="17"/>
      <c r="T155" s="17">
        <v>6000</v>
      </c>
      <c r="U155" s="17">
        <v>6000</v>
      </c>
      <c r="V155" s="17"/>
      <c r="W155" s="17"/>
      <c r="X155" s="44">
        <v>7000</v>
      </c>
      <c r="Y155" s="44">
        <v>6980</v>
      </c>
      <c r="Z155" s="17"/>
      <c r="AA155" s="17"/>
      <c r="AB155" s="17">
        <f>Y155-U155</f>
        <v>980</v>
      </c>
      <c r="AC155" s="37"/>
      <c r="AD155" s="17"/>
      <c r="AE155" s="17"/>
      <c r="AF155" s="17"/>
      <c r="AG155" s="17"/>
      <c r="AH155" s="17"/>
      <c r="AI155" s="17"/>
      <c r="AJ155" s="17"/>
      <c r="AK155" s="17"/>
      <c r="AL155" s="17"/>
      <c r="AM155" s="17">
        <f>AN155+20</f>
        <v>7000</v>
      </c>
      <c r="AN155" s="17">
        <v>6980</v>
      </c>
      <c r="AO155" s="17"/>
      <c r="AP155" s="17"/>
      <c r="AQ155" s="17"/>
      <c r="AR155" s="17"/>
      <c r="AS155" s="17">
        <f>AT155+AO155</f>
        <v>6980</v>
      </c>
      <c r="AT155" s="17">
        <v>6980</v>
      </c>
      <c r="AU155" s="17"/>
      <c r="AV155" s="17"/>
      <c r="AW155" s="113"/>
      <c r="AX155" s="251"/>
      <c r="AZ155" s="13"/>
      <c r="BA155" s="13"/>
    </row>
    <row r="156" spans="1:54" s="14" customFormat="1" ht="30" customHeight="1" x14ac:dyDescent="0.25">
      <c r="A156" s="3" t="s">
        <v>108</v>
      </c>
      <c r="B156" s="279" t="s">
        <v>553</v>
      </c>
      <c r="C156" s="57"/>
      <c r="D156" s="58"/>
      <c r="E156" s="59"/>
      <c r="F156" s="57"/>
      <c r="G156" s="101">
        <f t="shared" ref="G156:AT156" si="191">SUM(G157:G158)</f>
        <v>5104</v>
      </c>
      <c r="H156" s="101">
        <f t="shared" si="191"/>
        <v>5084.826</v>
      </c>
      <c r="I156" s="101">
        <f t="shared" si="191"/>
        <v>0</v>
      </c>
      <c r="J156" s="101">
        <f t="shared" si="191"/>
        <v>0</v>
      </c>
      <c r="K156" s="101">
        <f t="shared" si="191"/>
        <v>0</v>
      </c>
      <c r="L156" s="101">
        <f t="shared" si="191"/>
        <v>0</v>
      </c>
      <c r="M156" s="101">
        <f t="shared" si="191"/>
        <v>0</v>
      </c>
      <c r="N156" s="101">
        <f t="shared" si="191"/>
        <v>0</v>
      </c>
      <c r="O156" s="101">
        <f t="shared" si="191"/>
        <v>0</v>
      </c>
      <c r="P156" s="101">
        <f t="shared" si="191"/>
        <v>0</v>
      </c>
      <c r="Q156" s="101">
        <f t="shared" si="191"/>
        <v>0</v>
      </c>
      <c r="R156" s="101">
        <f t="shared" si="191"/>
        <v>0</v>
      </c>
      <c r="S156" s="101">
        <f t="shared" si="191"/>
        <v>0</v>
      </c>
      <c r="T156" s="101">
        <f t="shared" si="191"/>
        <v>0</v>
      </c>
      <c r="U156" s="101">
        <f t="shared" si="191"/>
        <v>0</v>
      </c>
      <c r="V156" s="101">
        <f t="shared" si="191"/>
        <v>0</v>
      </c>
      <c r="W156" s="101">
        <f t="shared" si="191"/>
        <v>0</v>
      </c>
      <c r="X156" s="101">
        <f t="shared" si="191"/>
        <v>0</v>
      </c>
      <c r="Y156" s="101">
        <f t="shared" si="191"/>
        <v>0</v>
      </c>
      <c r="Z156" s="101">
        <f t="shared" si="191"/>
        <v>0</v>
      </c>
      <c r="AA156" s="101">
        <f t="shared" si="191"/>
        <v>0</v>
      </c>
      <c r="AB156" s="101">
        <f t="shared" si="191"/>
        <v>0</v>
      </c>
      <c r="AC156" s="101">
        <f t="shared" si="191"/>
        <v>0</v>
      </c>
      <c r="AD156" s="101">
        <f t="shared" si="191"/>
        <v>0</v>
      </c>
      <c r="AE156" s="101">
        <f t="shared" si="191"/>
        <v>0</v>
      </c>
      <c r="AF156" s="101">
        <f t="shared" si="191"/>
        <v>0</v>
      </c>
      <c r="AG156" s="101">
        <f t="shared" si="191"/>
        <v>0</v>
      </c>
      <c r="AH156" s="101">
        <f t="shared" si="191"/>
        <v>0</v>
      </c>
      <c r="AI156" s="101">
        <f t="shared" si="191"/>
        <v>0</v>
      </c>
      <c r="AJ156" s="101">
        <f t="shared" si="191"/>
        <v>0</v>
      </c>
      <c r="AK156" s="101">
        <f t="shared" si="191"/>
        <v>4890.826</v>
      </c>
      <c r="AL156" s="101">
        <f t="shared" si="191"/>
        <v>0</v>
      </c>
      <c r="AM156" s="101">
        <f t="shared" si="191"/>
        <v>5104</v>
      </c>
      <c r="AN156" s="101">
        <f t="shared" si="191"/>
        <v>5084.826</v>
      </c>
      <c r="AO156" s="101">
        <f t="shared" si="191"/>
        <v>0</v>
      </c>
      <c r="AP156" s="101">
        <f t="shared" si="191"/>
        <v>0</v>
      </c>
      <c r="AQ156" s="101">
        <f t="shared" si="191"/>
        <v>0</v>
      </c>
      <c r="AR156" s="101">
        <f t="shared" si="191"/>
        <v>0</v>
      </c>
      <c r="AS156" s="101">
        <f t="shared" si="191"/>
        <v>5104</v>
      </c>
      <c r="AT156" s="101">
        <f t="shared" si="191"/>
        <v>5084.826</v>
      </c>
      <c r="AU156" s="60"/>
      <c r="AV156" s="60"/>
      <c r="AW156" s="239"/>
      <c r="AX156" s="861" t="s">
        <v>375</v>
      </c>
      <c r="AY156" s="862"/>
      <c r="AZ156" s="13"/>
      <c r="BA156" s="13"/>
    </row>
    <row r="157" spans="1:54" s="14" customFormat="1" ht="43.5" customHeight="1" x14ac:dyDescent="0.25">
      <c r="A157" s="6">
        <v>1</v>
      </c>
      <c r="B157" s="66" t="s">
        <v>540</v>
      </c>
      <c r="C157" s="41" t="s">
        <v>49</v>
      </c>
      <c r="D157" s="62" t="s">
        <v>66</v>
      </c>
      <c r="E157" s="63" t="s">
        <v>52</v>
      </c>
      <c r="F157" s="57"/>
      <c r="G157" s="64">
        <v>1794</v>
      </c>
      <c r="H157" s="64">
        <v>1784.826</v>
      </c>
      <c r="I157" s="37"/>
      <c r="J157" s="37"/>
      <c r="K157" s="37"/>
      <c r="L157" s="17"/>
      <c r="M157" s="17"/>
      <c r="N157" s="17"/>
      <c r="O157" s="17"/>
      <c r="P157" s="17"/>
      <c r="Q157" s="17"/>
      <c r="R157" s="17"/>
      <c r="S157" s="17"/>
      <c r="T157" s="17"/>
      <c r="U157" s="17"/>
      <c r="V157" s="17"/>
      <c r="W157" s="17"/>
      <c r="X157" s="44"/>
      <c r="Y157" s="44"/>
      <c r="Z157" s="17"/>
      <c r="AA157" s="17"/>
      <c r="AB157" s="17"/>
      <c r="AC157" s="37"/>
      <c r="AD157" s="17"/>
      <c r="AE157" s="17"/>
      <c r="AF157" s="17"/>
      <c r="AG157" s="17"/>
      <c r="AH157" s="17"/>
      <c r="AI157" s="17"/>
      <c r="AJ157" s="17"/>
      <c r="AK157" s="65">
        <f>299.826+1291</f>
        <v>1590.826</v>
      </c>
      <c r="AL157" s="65"/>
      <c r="AM157" s="2">
        <f>AN157+9.174</f>
        <v>1794</v>
      </c>
      <c r="AN157" s="2">
        <v>1784.826</v>
      </c>
      <c r="AO157" s="17"/>
      <c r="AP157" s="9"/>
      <c r="AQ157" s="17"/>
      <c r="AR157" s="17"/>
      <c r="AS157" s="17">
        <f>AT157+9.174</f>
        <v>1794</v>
      </c>
      <c r="AT157" s="17">
        <v>1784.826</v>
      </c>
      <c r="AU157" s="17"/>
      <c r="AV157" s="17"/>
      <c r="AW157" s="9" t="s">
        <v>541</v>
      </c>
      <c r="AX157" s="861"/>
      <c r="AY157" s="862"/>
      <c r="AZ157" s="13"/>
      <c r="BA157" s="13"/>
      <c r="BB157" s="14">
        <v>1</v>
      </c>
    </row>
    <row r="158" spans="1:54" s="14" customFormat="1" ht="81" customHeight="1" x14ac:dyDescent="0.25">
      <c r="A158" s="6">
        <v>2</v>
      </c>
      <c r="B158" s="66" t="s">
        <v>376</v>
      </c>
      <c r="C158" s="41" t="s">
        <v>49</v>
      </c>
      <c r="D158" s="41" t="s">
        <v>377</v>
      </c>
      <c r="E158" s="63" t="s">
        <v>52</v>
      </c>
      <c r="F158" s="57"/>
      <c r="G158" s="64">
        <v>3310</v>
      </c>
      <c r="H158" s="64">
        <v>3300</v>
      </c>
      <c r="I158" s="37"/>
      <c r="J158" s="37"/>
      <c r="K158" s="37"/>
      <c r="L158" s="17"/>
      <c r="M158" s="17"/>
      <c r="N158" s="17"/>
      <c r="O158" s="17"/>
      <c r="P158" s="17"/>
      <c r="Q158" s="17"/>
      <c r="R158" s="17"/>
      <c r="S158" s="17"/>
      <c r="T158" s="17"/>
      <c r="U158" s="17"/>
      <c r="V158" s="17"/>
      <c r="W158" s="17"/>
      <c r="X158" s="44"/>
      <c r="Y158" s="44"/>
      <c r="Z158" s="17"/>
      <c r="AA158" s="17"/>
      <c r="AB158" s="17"/>
      <c r="AC158" s="37"/>
      <c r="AD158" s="17"/>
      <c r="AE158" s="17"/>
      <c r="AF158" s="17"/>
      <c r="AG158" s="17"/>
      <c r="AH158" s="17"/>
      <c r="AI158" s="17"/>
      <c r="AJ158" s="17"/>
      <c r="AK158" s="65">
        <v>3300</v>
      </c>
      <c r="AL158" s="65"/>
      <c r="AM158" s="17">
        <v>3310</v>
      </c>
      <c r="AN158" s="17">
        <v>3300</v>
      </c>
      <c r="AO158" s="26"/>
      <c r="AP158" s="17"/>
      <c r="AQ158" s="17"/>
      <c r="AR158" s="17"/>
      <c r="AS158" s="17">
        <f>AT158+10</f>
        <v>3310</v>
      </c>
      <c r="AT158" s="17">
        <v>3300</v>
      </c>
      <c r="AU158" s="17"/>
      <c r="AV158" s="17"/>
      <c r="AW158" s="17"/>
      <c r="AX158" s="67" t="s">
        <v>378</v>
      </c>
      <c r="AZ158" s="13"/>
      <c r="BA158" s="13"/>
      <c r="BB158" s="14">
        <v>1</v>
      </c>
    </row>
    <row r="159" spans="1:54" s="14" customFormat="1" ht="18" customHeight="1" x14ac:dyDescent="0.25">
      <c r="A159" s="6"/>
      <c r="B159" s="66"/>
      <c r="C159" s="41"/>
      <c r="D159" s="41"/>
      <c r="E159" s="63"/>
      <c r="F159" s="57"/>
      <c r="G159" s="64"/>
      <c r="H159" s="64"/>
      <c r="I159" s="37"/>
      <c r="J159" s="37"/>
      <c r="K159" s="37"/>
      <c r="L159" s="17"/>
      <c r="M159" s="17"/>
      <c r="N159" s="17"/>
      <c r="O159" s="17"/>
      <c r="P159" s="17"/>
      <c r="Q159" s="17"/>
      <c r="R159" s="17"/>
      <c r="S159" s="17"/>
      <c r="T159" s="17"/>
      <c r="U159" s="17"/>
      <c r="V159" s="17"/>
      <c r="W159" s="17"/>
      <c r="X159" s="44"/>
      <c r="Y159" s="44"/>
      <c r="Z159" s="17"/>
      <c r="AA159" s="17"/>
      <c r="AB159" s="17"/>
      <c r="AC159" s="37"/>
      <c r="AD159" s="17"/>
      <c r="AE159" s="17"/>
      <c r="AF159" s="17"/>
      <c r="AG159" s="17"/>
      <c r="AH159" s="17"/>
      <c r="AI159" s="17"/>
      <c r="AJ159" s="17"/>
      <c r="AK159" s="65"/>
      <c r="AL159" s="65"/>
      <c r="AM159" s="65"/>
      <c r="AN159" s="65"/>
      <c r="AO159" s="17"/>
      <c r="AP159" s="17"/>
      <c r="AQ159" s="17"/>
      <c r="AR159" s="17"/>
      <c r="AS159" s="17"/>
      <c r="AT159" s="17"/>
      <c r="AU159" s="17"/>
      <c r="AV159" s="17"/>
      <c r="AW159" s="17"/>
      <c r="AX159" s="67"/>
      <c r="AZ159" s="68"/>
      <c r="BA159" s="68"/>
    </row>
    <row r="160" spans="1:54" s="14" customFormat="1" ht="27.6" customHeight="1" x14ac:dyDescent="0.25">
      <c r="A160" s="859" t="s">
        <v>379</v>
      </c>
      <c r="B160" s="860"/>
      <c r="C160" s="57"/>
      <c r="D160" s="158"/>
      <c r="E160" s="158"/>
      <c r="F160" s="57"/>
      <c r="G160" s="38">
        <f>G161+G162</f>
        <v>140116</v>
      </c>
      <c r="H160" s="38">
        <f t="shared" ref="H160:V160" si="192">H161+H162</f>
        <v>135826</v>
      </c>
      <c r="I160" s="38">
        <f t="shared" si="192"/>
        <v>0</v>
      </c>
      <c r="J160" s="38">
        <f t="shared" si="192"/>
        <v>0</v>
      </c>
      <c r="K160" s="38">
        <f t="shared" si="192"/>
        <v>0</v>
      </c>
      <c r="L160" s="38">
        <f t="shared" si="192"/>
        <v>24947</v>
      </c>
      <c r="M160" s="38">
        <f t="shared" si="192"/>
        <v>23120</v>
      </c>
      <c r="N160" s="38">
        <f t="shared" si="192"/>
        <v>20673.863000000001</v>
      </c>
      <c r="O160" s="38">
        <f t="shared" si="192"/>
        <v>19695.494000000002</v>
      </c>
      <c r="P160" s="38">
        <f t="shared" si="192"/>
        <v>120189</v>
      </c>
      <c r="Q160" s="38">
        <f>Q161+Q162</f>
        <v>118066</v>
      </c>
      <c r="R160" s="38">
        <f t="shared" si="192"/>
        <v>0</v>
      </c>
      <c r="S160" s="38">
        <f t="shared" si="192"/>
        <v>0</v>
      </c>
      <c r="T160" s="38">
        <f t="shared" si="192"/>
        <v>120820</v>
      </c>
      <c r="U160" s="38">
        <f>U161+U162</f>
        <v>118697</v>
      </c>
      <c r="V160" s="38">
        <f t="shared" si="192"/>
        <v>0</v>
      </c>
      <c r="W160" s="38">
        <f>W161+W162</f>
        <v>0</v>
      </c>
      <c r="X160" s="38">
        <f t="shared" ref="X160:AS160" si="193">X161+X162</f>
        <v>122751</v>
      </c>
      <c r="Y160" s="38">
        <f>Y161+Y162</f>
        <v>116073</v>
      </c>
      <c r="Z160" s="38"/>
      <c r="AA160" s="38">
        <f>AA161+AA162</f>
        <v>0</v>
      </c>
      <c r="AB160" s="38">
        <f t="shared" si="193"/>
        <v>0</v>
      </c>
      <c r="AC160" s="38">
        <f t="shared" si="193"/>
        <v>0</v>
      </c>
      <c r="AD160" s="38">
        <f t="shared" si="193"/>
        <v>21529</v>
      </c>
      <c r="AE160" s="38">
        <f t="shared" si="193"/>
        <v>21529</v>
      </c>
      <c r="AF160" s="38">
        <f t="shared" si="193"/>
        <v>0</v>
      </c>
      <c r="AG160" s="38">
        <f t="shared" si="193"/>
        <v>0</v>
      </c>
      <c r="AH160" s="38">
        <f t="shared" si="193"/>
        <v>19228</v>
      </c>
      <c r="AI160" s="38">
        <f t="shared" si="193"/>
        <v>19228</v>
      </c>
      <c r="AJ160" s="38">
        <f t="shared" si="193"/>
        <v>0</v>
      </c>
      <c r="AK160" s="38">
        <f t="shared" si="193"/>
        <v>8022</v>
      </c>
      <c r="AL160" s="38">
        <f t="shared" si="193"/>
        <v>1214</v>
      </c>
      <c r="AM160" s="38">
        <f t="shared" si="193"/>
        <v>125329</v>
      </c>
      <c r="AN160" s="116">
        <f t="shared" si="193"/>
        <v>122881</v>
      </c>
      <c r="AO160" s="116">
        <f t="shared" si="193"/>
        <v>0</v>
      </c>
      <c r="AP160" s="116">
        <f t="shared" si="193"/>
        <v>0</v>
      </c>
      <c r="AQ160" s="116">
        <f t="shared" si="193"/>
        <v>0.5</v>
      </c>
      <c r="AR160" s="116">
        <f t="shared" si="193"/>
        <v>4190.4000000000015</v>
      </c>
      <c r="AS160" s="116">
        <f t="shared" si="193"/>
        <v>119480.09999999998</v>
      </c>
      <c r="AT160" s="316">
        <f>AT161+AT162</f>
        <v>118690.09999999998</v>
      </c>
      <c r="AU160" s="17"/>
      <c r="AV160" s="17"/>
      <c r="AW160" s="199"/>
      <c r="AX160" s="200">
        <f>AT160-118891</f>
        <v>-200.90000000002328</v>
      </c>
      <c r="AY160" s="157">
        <f>AW160-Y160</f>
        <v>-116073</v>
      </c>
    </row>
    <row r="161" spans="1:53" s="14" customFormat="1" ht="33.6" customHeight="1" x14ac:dyDescent="0.25">
      <c r="A161" s="240" t="s">
        <v>100</v>
      </c>
      <c r="B161" s="201" t="s">
        <v>101</v>
      </c>
      <c r="C161" s="57"/>
      <c r="D161" s="158"/>
      <c r="E161" s="158"/>
      <c r="F161" s="57"/>
      <c r="G161" s="37"/>
      <c r="H161" s="37"/>
      <c r="I161" s="37"/>
      <c r="J161" s="37"/>
      <c r="K161" s="37"/>
      <c r="L161" s="38">
        <v>3220</v>
      </c>
      <c r="M161" s="38">
        <v>3220</v>
      </c>
      <c r="N161" s="38">
        <v>1419</v>
      </c>
      <c r="O161" s="38">
        <f>N161</f>
        <v>1419</v>
      </c>
      <c r="P161" s="38">
        <v>11984</v>
      </c>
      <c r="Q161" s="38">
        <v>11984</v>
      </c>
      <c r="R161" s="38"/>
      <c r="S161" s="38"/>
      <c r="T161" s="38">
        <f>11984+1631</f>
        <v>13615</v>
      </c>
      <c r="U161" s="38">
        <f>11984+1631</f>
        <v>13615</v>
      </c>
      <c r="V161" s="38"/>
      <c r="W161" s="38"/>
      <c r="X161" s="37">
        <f>Y161</f>
        <v>13615</v>
      </c>
      <c r="Y161" s="37">
        <v>13615</v>
      </c>
      <c r="Z161" s="38"/>
      <c r="AA161" s="38"/>
      <c r="AB161" s="38"/>
      <c r="AC161" s="37"/>
      <c r="AD161" s="37">
        <f>AE161</f>
        <v>2535</v>
      </c>
      <c r="AE161" s="37">
        <v>2535</v>
      </c>
      <c r="AF161" s="17"/>
      <c r="AG161" s="17"/>
      <c r="AH161" s="37">
        <f>AI161</f>
        <v>2150</v>
      </c>
      <c r="AI161" s="37">
        <v>2150</v>
      </c>
      <c r="AJ161" s="17"/>
      <c r="AK161" s="17"/>
      <c r="AL161" s="17"/>
      <c r="AM161" s="116">
        <f>AN161</f>
        <v>10274</v>
      </c>
      <c r="AN161" s="116">
        <f>13615-3341</f>
        <v>10274</v>
      </c>
      <c r="AO161" s="17"/>
      <c r="AP161" s="17"/>
      <c r="AQ161" s="17"/>
      <c r="AR161" s="398">
        <v>2846.6000000000004</v>
      </c>
      <c r="AS161" s="398">
        <f>AT161</f>
        <v>7427.4</v>
      </c>
      <c r="AT161" s="398">
        <f>AN161-AR161</f>
        <v>7427.4</v>
      </c>
      <c r="AU161" s="17"/>
      <c r="AV161" s="17"/>
      <c r="AW161" s="252"/>
      <c r="AX161" s="253"/>
      <c r="AZ161" s="13"/>
      <c r="BA161" s="13"/>
    </row>
    <row r="162" spans="1:53" s="14" customFormat="1" ht="24.95" customHeight="1" x14ac:dyDescent="0.25">
      <c r="A162" s="240" t="s">
        <v>102</v>
      </c>
      <c r="B162" s="237" t="s">
        <v>185</v>
      </c>
      <c r="C162" s="57"/>
      <c r="D162" s="158"/>
      <c r="E162" s="158"/>
      <c r="F162" s="57"/>
      <c r="G162" s="38">
        <f t="shared" ref="G162:AT162" si="194">G163+G164</f>
        <v>140116</v>
      </c>
      <c r="H162" s="38">
        <f t="shared" si="194"/>
        <v>135826</v>
      </c>
      <c r="I162" s="38">
        <f t="shared" si="194"/>
        <v>0</v>
      </c>
      <c r="J162" s="38">
        <f t="shared" si="194"/>
        <v>0</v>
      </c>
      <c r="K162" s="38">
        <f t="shared" si="194"/>
        <v>0</v>
      </c>
      <c r="L162" s="38">
        <f t="shared" si="194"/>
        <v>21727</v>
      </c>
      <c r="M162" s="38">
        <f t="shared" si="194"/>
        <v>19900</v>
      </c>
      <c r="N162" s="38">
        <f t="shared" si="194"/>
        <v>19254.863000000001</v>
      </c>
      <c r="O162" s="38">
        <f t="shared" si="194"/>
        <v>18276.494000000002</v>
      </c>
      <c r="P162" s="38">
        <f t="shared" si="194"/>
        <v>108205</v>
      </c>
      <c r="Q162" s="38">
        <f t="shared" si="194"/>
        <v>106082</v>
      </c>
      <c r="R162" s="38">
        <f t="shared" si="194"/>
        <v>0</v>
      </c>
      <c r="S162" s="38">
        <f t="shared" si="194"/>
        <v>0</v>
      </c>
      <c r="T162" s="38">
        <f t="shared" si="194"/>
        <v>107205</v>
      </c>
      <c r="U162" s="38">
        <f t="shared" si="194"/>
        <v>105082</v>
      </c>
      <c r="V162" s="38">
        <f t="shared" si="194"/>
        <v>0</v>
      </c>
      <c r="W162" s="38">
        <f t="shared" si="194"/>
        <v>0</v>
      </c>
      <c r="X162" s="38">
        <f t="shared" si="194"/>
        <v>109136</v>
      </c>
      <c r="Y162" s="38">
        <f t="shared" si="194"/>
        <v>102458</v>
      </c>
      <c r="Z162" s="38">
        <f t="shared" si="194"/>
        <v>0</v>
      </c>
      <c r="AA162" s="38">
        <f t="shared" si="194"/>
        <v>0</v>
      </c>
      <c r="AB162" s="38">
        <f t="shared" si="194"/>
        <v>0</v>
      </c>
      <c r="AC162" s="38">
        <f t="shared" si="194"/>
        <v>0</v>
      </c>
      <c r="AD162" s="38">
        <f t="shared" si="194"/>
        <v>18994</v>
      </c>
      <c r="AE162" s="38">
        <f t="shared" si="194"/>
        <v>18994</v>
      </c>
      <c r="AF162" s="38">
        <f t="shared" si="194"/>
        <v>0</v>
      </c>
      <c r="AG162" s="38">
        <f t="shared" si="194"/>
        <v>0</v>
      </c>
      <c r="AH162" s="38">
        <f t="shared" si="194"/>
        <v>17078</v>
      </c>
      <c r="AI162" s="38">
        <f t="shared" si="194"/>
        <v>17078</v>
      </c>
      <c r="AJ162" s="38">
        <f t="shared" si="194"/>
        <v>0</v>
      </c>
      <c r="AK162" s="38">
        <f t="shared" si="194"/>
        <v>8022</v>
      </c>
      <c r="AL162" s="38">
        <f t="shared" si="194"/>
        <v>1214</v>
      </c>
      <c r="AM162" s="38">
        <f t="shared" si="194"/>
        <v>115055</v>
      </c>
      <c r="AN162" s="38">
        <f t="shared" si="194"/>
        <v>112607</v>
      </c>
      <c r="AO162" s="38">
        <f t="shared" si="194"/>
        <v>0</v>
      </c>
      <c r="AP162" s="38">
        <f t="shared" si="194"/>
        <v>0</v>
      </c>
      <c r="AQ162" s="38">
        <f t="shared" si="194"/>
        <v>0.5</v>
      </c>
      <c r="AR162" s="38">
        <f t="shared" si="194"/>
        <v>1343.8000000000015</v>
      </c>
      <c r="AS162" s="38">
        <f t="shared" si="194"/>
        <v>112052.69999999998</v>
      </c>
      <c r="AT162" s="38">
        <f t="shared" si="194"/>
        <v>111262.69999999998</v>
      </c>
      <c r="AU162" s="17"/>
      <c r="AV162" s="17"/>
      <c r="AW162" s="143"/>
      <c r="AX162" s="174"/>
      <c r="AZ162" s="13"/>
      <c r="BA162" s="13"/>
    </row>
    <row r="163" spans="1:53" s="14" customFormat="1" ht="24.95" customHeight="1" x14ac:dyDescent="0.25">
      <c r="A163" s="158"/>
      <c r="B163" s="237" t="s">
        <v>104</v>
      </c>
      <c r="C163" s="57"/>
      <c r="D163" s="158"/>
      <c r="E163" s="158"/>
      <c r="F163" s="57"/>
      <c r="G163" s="37"/>
      <c r="H163" s="37"/>
      <c r="I163" s="37"/>
      <c r="J163" s="37"/>
      <c r="K163" s="37"/>
      <c r="L163" s="17"/>
      <c r="M163" s="17"/>
      <c r="N163" s="17"/>
      <c r="O163" s="17"/>
      <c r="P163" s="17"/>
      <c r="Q163" s="17"/>
      <c r="R163" s="17"/>
      <c r="S163" s="17"/>
      <c r="T163" s="17"/>
      <c r="U163" s="17"/>
      <c r="V163" s="17"/>
      <c r="W163" s="17"/>
      <c r="X163" s="17"/>
      <c r="Y163" s="17"/>
      <c r="Z163" s="17"/>
      <c r="AA163" s="17"/>
      <c r="AB163" s="17"/>
      <c r="AC163" s="37"/>
      <c r="AD163" s="37"/>
      <c r="AE163" s="37"/>
      <c r="AF163" s="17"/>
      <c r="AG163" s="17"/>
      <c r="AH163" s="17"/>
      <c r="AI163" s="17"/>
      <c r="AJ163" s="17"/>
      <c r="AK163" s="17"/>
      <c r="AL163" s="17"/>
      <c r="AM163" s="17"/>
      <c r="AN163" s="17"/>
      <c r="AO163" s="17"/>
      <c r="AP163" s="17"/>
      <c r="AQ163" s="17"/>
      <c r="AR163" s="17"/>
      <c r="AS163" s="17"/>
      <c r="AT163" s="17"/>
      <c r="AU163" s="17"/>
      <c r="AV163" s="17"/>
      <c r="AW163" s="141"/>
      <c r="AX163" s="79"/>
      <c r="AZ163" s="13"/>
      <c r="BA163" s="13"/>
    </row>
    <row r="164" spans="1:53" s="14" customFormat="1" ht="24.95" customHeight="1" x14ac:dyDescent="0.25">
      <c r="A164" s="202"/>
      <c r="B164" s="204" t="s">
        <v>105</v>
      </c>
      <c r="C164" s="57"/>
      <c r="D164" s="158"/>
      <c r="E164" s="158"/>
      <c r="F164" s="57"/>
      <c r="G164" s="38">
        <f>G165+G175</f>
        <v>140116</v>
      </c>
      <c r="H164" s="38">
        <f t="shared" ref="H164:AS164" si="195">H165+H175</f>
        <v>135826</v>
      </c>
      <c r="I164" s="38">
        <f t="shared" si="195"/>
        <v>0</v>
      </c>
      <c r="J164" s="38">
        <f t="shared" si="195"/>
        <v>0</v>
      </c>
      <c r="K164" s="38">
        <f t="shared" si="195"/>
        <v>0</v>
      </c>
      <c r="L164" s="38">
        <f t="shared" si="195"/>
        <v>21727</v>
      </c>
      <c r="M164" s="38">
        <f t="shared" si="195"/>
        <v>19900</v>
      </c>
      <c r="N164" s="38">
        <f t="shared" si="195"/>
        <v>19254.863000000001</v>
      </c>
      <c r="O164" s="38">
        <f t="shared" si="195"/>
        <v>18276.494000000002</v>
      </c>
      <c r="P164" s="38">
        <f t="shared" si="195"/>
        <v>108205</v>
      </c>
      <c r="Q164" s="38">
        <f t="shared" si="195"/>
        <v>106082</v>
      </c>
      <c r="R164" s="38">
        <f t="shared" si="195"/>
        <v>0</v>
      </c>
      <c r="S164" s="38">
        <f t="shared" si="195"/>
        <v>0</v>
      </c>
      <c r="T164" s="38">
        <f t="shared" si="195"/>
        <v>107205</v>
      </c>
      <c r="U164" s="38">
        <f t="shared" si="195"/>
        <v>105082</v>
      </c>
      <c r="V164" s="38">
        <f t="shared" si="195"/>
        <v>0</v>
      </c>
      <c r="W164" s="38">
        <f t="shared" si="195"/>
        <v>0</v>
      </c>
      <c r="X164" s="38">
        <f t="shared" si="195"/>
        <v>109136</v>
      </c>
      <c r="Y164" s="38">
        <f t="shared" si="195"/>
        <v>102458</v>
      </c>
      <c r="Z164" s="38">
        <f t="shared" si="195"/>
        <v>0</v>
      </c>
      <c r="AA164" s="38">
        <f t="shared" si="195"/>
        <v>0</v>
      </c>
      <c r="AB164" s="38">
        <f t="shared" si="195"/>
        <v>0</v>
      </c>
      <c r="AC164" s="38">
        <f t="shared" si="195"/>
        <v>0</v>
      </c>
      <c r="AD164" s="38">
        <f t="shared" si="195"/>
        <v>18994</v>
      </c>
      <c r="AE164" s="38">
        <f t="shared" si="195"/>
        <v>18994</v>
      </c>
      <c r="AF164" s="38">
        <f t="shared" si="195"/>
        <v>0</v>
      </c>
      <c r="AG164" s="38">
        <f t="shared" si="195"/>
        <v>0</v>
      </c>
      <c r="AH164" s="38">
        <f t="shared" si="195"/>
        <v>17078</v>
      </c>
      <c r="AI164" s="38">
        <f t="shared" si="195"/>
        <v>17078</v>
      </c>
      <c r="AJ164" s="38">
        <f t="shared" si="195"/>
        <v>0</v>
      </c>
      <c r="AK164" s="38">
        <f t="shared" si="195"/>
        <v>8022</v>
      </c>
      <c r="AL164" s="38">
        <f t="shared" si="195"/>
        <v>1214</v>
      </c>
      <c r="AM164" s="38">
        <f t="shared" si="195"/>
        <v>115055</v>
      </c>
      <c r="AN164" s="38">
        <f t="shared" si="195"/>
        <v>112607</v>
      </c>
      <c r="AO164" s="38">
        <f t="shared" si="195"/>
        <v>0</v>
      </c>
      <c r="AP164" s="38">
        <f t="shared" si="195"/>
        <v>0</v>
      </c>
      <c r="AQ164" s="38">
        <f t="shared" si="195"/>
        <v>0.5</v>
      </c>
      <c r="AR164" s="38">
        <f t="shared" si="195"/>
        <v>1343.8000000000015</v>
      </c>
      <c r="AS164" s="38">
        <f t="shared" si="195"/>
        <v>112052.69999999998</v>
      </c>
      <c r="AT164" s="38">
        <f>AT165+AT175</f>
        <v>111262.69999999998</v>
      </c>
      <c r="AU164" s="17"/>
      <c r="AV164" s="17"/>
      <c r="AW164" s="147"/>
      <c r="AX164" s="79"/>
      <c r="AZ164" s="13"/>
      <c r="BA164" s="13"/>
    </row>
    <row r="165" spans="1:53" s="14" customFormat="1" ht="47.25" x14ac:dyDescent="0.25">
      <c r="A165" s="163" t="s">
        <v>106</v>
      </c>
      <c r="B165" s="166" t="s">
        <v>107</v>
      </c>
      <c r="C165" s="57"/>
      <c r="D165" s="158"/>
      <c r="E165" s="158"/>
      <c r="F165" s="57"/>
      <c r="G165" s="38">
        <f>G166+G167</f>
        <v>60932</v>
      </c>
      <c r="H165" s="38">
        <f t="shared" ref="H165:AT165" si="196">H166+H167</f>
        <v>57432</v>
      </c>
      <c r="I165" s="38">
        <f t="shared" si="196"/>
        <v>0</v>
      </c>
      <c r="J165" s="38">
        <f t="shared" si="196"/>
        <v>0</v>
      </c>
      <c r="K165" s="38">
        <f t="shared" si="196"/>
        <v>0</v>
      </c>
      <c r="L165" s="38">
        <f t="shared" si="196"/>
        <v>21727</v>
      </c>
      <c r="M165" s="38">
        <f t="shared" si="196"/>
        <v>19900</v>
      </c>
      <c r="N165" s="38">
        <f t="shared" si="196"/>
        <v>19254.863000000001</v>
      </c>
      <c r="O165" s="38">
        <f t="shared" si="196"/>
        <v>18276.494000000002</v>
      </c>
      <c r="P165" s="38">
        <f t="shared" si="196"/>
        <v>39205</v>
      </c>
      <c r="Q165" s="38">
        <f t="shared" si="196"/>
        <v>37082</v>
      </c>
      <c r="R165" s="38">
        <f t="shared" si="196"/>
        <v>0</v>
      </c>
      <c r="S165" s="38">
        <f t="shared" si="196"/>
        <v>0</v>
      </c>
      <c r="T165" s="38">
        <f t="shared" si="196"/>
        <v>39205</v>
      </c>
      <c r="U165" s="38">
        <f t="shared" si="196"/>
        <v>37082</v>
      </c>
      <c r="V165" s="38">
        <f t="shared" si="196"/>
        <v>0</v>
      </c>
      <c r="W165" s="38">
        <f t="shared" si="196"/>
        <v>0</v>
      </c>
      <c r="X165" s="38">
        <f t="shared" si="196"/>
        <v>37691</v>
      </c>
      <c r="Y165" s="38">
        <f t="shared" si="196"/>
        <v>36013</v>
      </c>
      <c r="Z165" s="38">
        <f t="shared" si="196"/>
        <v>0</v>
      </c>
      <c r="AA165" s="38">
        <f t="shared" si="196"/>
        <v>0</v>
      </c>
      <c r="AB165" s="38">
        <f t="shared" si="196"/>
        <v>0</v>
      </c>
      <c r="AC165" s="38">
        <f t="shared" si="196"/>
        <v>0</v>
      </c>
      <c r="AD165" s="38">
        <f t="shared" si="196"/>
        <v>18382</v>
      </c>
      <c r="AE165" s="38">
        <f t="shared" si="196"/>
        <v>18382</v>
      </c>
      <c r="AF165" s="38">
        <f t="shared" si="196"/>
        <v>0</v>
      </c>
      <c r="AG165" s="38">
        <f t="shared" si="196"/>
        <v>0</v>
      </c>
      <c r="AH165" s="38">
        <f t="shared" si="196"/>
        <v>13230</v>
      </c>
      <c r="AI165" s="38">
        <f t="shared" si="196"/>
        <v>13230</v>
      </c>
      <c r="AJ165" s="38">
        <f t="shared" si="196"/>
        <v>0</v>
      </c>
      <c r="AK165" s="38">
        <f t="shared" si="196"/>
        <v>0</v>
      </c>
      <c r="AL165" s="38">
        <f t="shared" si="196"/>
        <v>0</v>
      </c>
      <c r="AM165" s="38">
        <f t="shared" si="196"/>
        <v>37691</v>
      </c>
      <c r="AN165" s="38">
        <f t="shared" si="196"/>
        <v>36013</v>
      </c>
      <c r="AO165" s="38">
        <f t="shared" si="196"/>
        <v>0</v>
      </c>
      <c r="AP165" s="38">
        <f t="shared" si="196"/>
        <v>0</v>
      </c>
      <c r="AQ165" s="38">
        <f t="shared" si="196"/>
        <v>0.5</v>
      </c>
      <c r="AR165" s="38">
        <f t="shared" si="196"/>
        <v>1338.7000000000012</v>
      </c>
      <c r="AS165" s="38">
        <f t="shared" si="196"/>
        <v>34674.799999999996</v>
      </c>
      <c r="AT165" s="38">
        <f t="shared" si="196"/>
        <v>34674.799999999996</v>
      </c>
      <c r="AU165" s="17"/>
      <c r="AV165" s="17"/>
      <c r="AW165" s="141"/>
      <c r="AX165" s="79"/>
      <c r="AZ165" s="13"/>
      <c r="BA165" s="13"/>
    </row>
    <row r="166" spans="1:53" s="144" customFormat="1" ht="31.5" x14ac:dyDescent="0.25">
      <c r="A166" s="167" t="s">
        <v>108</v>
      </c>
      <c r="B166" s="241" t="s">
        <v>380</v>
      </c>
      <c r="C166" s="142"/>
      <c r="D166" s="167"/>
      <c r="E166" s="167"/>
      <c r="F166" s="142"/>
      <c r="G166" s="171"/>
      <c r="H166" s="171"/>
      <c r="I166" s="171"/>
      <c r="J166" s="171"/>
      <c r="K166" s="171"/>
      <c r="L166" s="172"/>
      <c r="M166" s="172"/>
      <c r="N166" s="172"/>
      <c r="O166" s="172"/>
      <c r="P166" s="172"/>
      <c r="Q166" s="172"/>
      <c r="R166" s="172"/>
      <c r="S166" s="172"/>
      <c r="T166" s="172"/>
      <c r="U166" s="172"/>
      <c r="V166" s="172"/>
      <c r="W166" s="172"/>
      <c r="X166" s="172"/>
      <c r="Y166" s="172"/>
      <c r="Z166" s="172"/>
      <c r="AA166" s="172"/>
      <c r="AB166" s="172"/>
      <c r="AC166" s="37"/>
      <c r="AD166" s="37"/>
      <c r="AE166" s="37"/>
      <c r="AF166" s="172"/>
      <c r="AG166" s="172"/>
      <c r="AH166" s="172"/>
      <c r="AI166" s="172"/>
      <c r="AJ166" s="172"/>
      <c r="AK166" s="17"/>
      <c r="AL166" s="17"/>
      <c r="AM166" s="17"/>
      <c r="AN166" s="17"/>
      <c r="AO166" s="17"/>
      <c r="AP166" s="17"/>
      <c r="AQ166" s="17"/>
      <c r="AR166" s="17"/>
      <c r="AS166" s="17"/>
      <c r="AT166" s="17"/>
      <c r="AU166" s="17"/>
      <c r="AV166" s="17"/>
      <c r="AW166" s="143"/>
      <c r="AX166" s="174"/>
      <c r="AZ166" s="208"/>
      <c r="BA166" s="208"/>
    </row>
    <row r="167" spans="1:53" s="144" customFormat="1" ht="31.5" x14ac:dyDescent="0.25">
      <c r="A167" s="167" t="s">
        <v>108</v>
      </c>
      <c r="B167" s="223" t="s">
        <v>381</v>
      </c>
      <c r="C167" s="142"/>
      <c r="D167" s="167"/>
      <c r="E167" s="167"/>
      <c r="F167" s="142"/>
      <c r="G167" s="171">
        <f t="shared" ref="G167:Z167" si="197">SUM(G168:G174)</f>
        <v>60932</v>
      </c>
      <c r="H167" s="171">
        <f t="shared" si="197"/>
        <v>57432</v>
      </c>
      <c r="I167" s="171">
        <f t="shared" si="197"/>
        <v>0</v>
      </c>
      <c r="J167" s="171">
        <f t="shared" si="197"/>
        <v>0</v>
      </c>
      <c r="K167" s="171">
        <f t="shared" si="197"/>
        <v>0</v>
      </c>
      <c r="L167" s="171">
        <f t="shared" si="197"/>
        <v>21727</v>
      </c>
      <c r="M167" s="171">
        <f t="shared" si="197"/>
        <v>19900</v>
      </c>
      <c r="N167" s="171">
        <f t="shared" si="197"/>
        <v>19254.863000000001</v>
      </c>
      <c r="O167" s="171">
        <f t="shared" si="197"/>
        <v>18276.494000000002</v>
      </c>
      <c r="P167" s="171">
        <f t="shared" si="197"/>
        <v>39205</v>
      </c>
      <c r="Q167" s="171">
        <f t="shared" si="197"/>
        <v>37082</v>
      </c>
      <c r="R167" s="171">
        <f t="shared" si="197"/>
        <v>0</v>
      </c>
      <c r="S167" s="171">
        <f t="shared" si="197"/>
        <v>0</v>
      </c>
      <c r="T167" s="171">
        <f t="shared" si="197"/>
        <v>39205</v>
      </c>
      <c r="U167" s="171">
        <f t="shared" si="197"/>
        <v>37082</v>
      </c>
      <c r="V167" s="171">
        <f t="shared" si="197"/>
        <v>0</v>
      </c>
      <c r="W167" s="171">
        <f t="shared" si="197"/>
        <v>0</v>
      </c>
      <c r="X167" s="171">
        <f>SUM(X168:X174)</f>
        <v>37691</v>
      </c>
      <c r="Y167" s="171">
        <f t="shared" si="197"/>
        <v>36013</v>
      </c>
      <c r="Z167" s="171">
        <f t="shared" si="197"/>
        <v>0</v>
      </c>
      <c r="AA167" s="171">
        <f>SUM(AA168:AA174)</f>
        <v>0</v>
      </c>
      <c r="AB167" s="171">
        <f t="shared" ref="AB167:AT167" si="198">SUM(AB168:AB174)</f>
        <v>0</v>
      </c>
      <c r="AC167" s="171">
        <f t="shared" si="198"/>
        <v>0</v>
      </c>
      <c r="AD167" s="171">
        <f t="shared" si="198"/>
        <v>18382</v>
      </c>
      <c r="AE167" s="171">
        <f t="shared" si="198"/>
        <v>18382</v>
      </c>
      <c r="AF167" s="171">
        <f t="shared" si="198"/>
        <v>0</v>
      </c>
      <c r="AG167" s="171">
        <f t="shared" si="198"/>
        <v>0</v>
      </c>
      <c r="AH167" s="171">
        <f t="shared" si="198"/>
        <v>13230</v>
      </c>
      <c r="AI167" s="171">
        <f t="shared" si="198"/>
        <v>13230</v>
      </c>
      <c r="AJ167" s="171">
        <f t="shared" si="198"/>
        <v>0</v>
      </c>
      <c r="AK167" s="171">
        <f t="shared" si="198"/>
        <v>0</v>
      </c>
      <c r="AL167" s="171">
        <f t="shared" si="198"/>
        <v>0</v>
      </c>
      <c r="AM167" s="171">
        <f t="shared" si="198"/>
        <v>37691</v>
      </c>
      <c r="AN167" s="171">
        <f t="shared" si="198"/>
        <v>36013</v>
      </c>
      <c r="AO167" s="171">
        <f t="shared" si="198"/>
        <v>0</v>
      </c>
      <c r="AP167" s="171">
        <f t="shared" si="198"/>
        <v>0</v>
      </c>
      <c r="AQ167" s="171">
        <f t="shared" si="198"/>
        <v>0.5</v>
      </c>
      <c r="AR167" s="171">
        <f t="shared" si="198"/>
        <v>1338.7000000000012</v>
      </c>
      <c r="AS167" s="171">
        <f t="shared" si="198"/>
        <v>34674.799999999996</v>
      </c>
      <c r="AT167" s="171">
        <f t="shared" si="198"/>
        <v>34674.799999999996</v>
      </c>
      <c r="AU167" s="17"/>
      <c r="AV167" s="17"/>
      <c r="AW167" s="143"/>
      <c r="AX167" s="174"/>
      <c r="AZ167" s="208"/>
      <c r="BA167" s="208"/>
    </row>
    <row r="168" spans="1:53" s="14" customFormat="1" ht="47.25" x14ac:dyDescent="0.25">
      <c r="A168" s="49">
        <v>1</v>
      </c>
      <c r="B168" s="254" t="s">
        <v>382</v>
      </c>
      <c r="C168" s="57"/>
      <c r="D168" s="75" t="s">
        <v>383</v>
      </c>
      <c r="E168" s="75" t="s">
        <v>384</v>
      </c>
      <c r="F168" s="75" t="s">
        <v>385</v>
      </c>
      <c r="G168" s="64">
        <v>14950</v>
      </c>
      <c r="H168" s="64">
        <v>11450</v>
      </c>
      <c r="I168" s="64"/>
      <c r="J168" s="64"/>
      <c r="K168" s="64"/>
      <c r="L168" s="64">
        <v>5927</v>
      </c>
      <c r="M168" s="64">
        <v>4100</v>
      </c>
      <c r="N168" s="64">
        <v>5078.3689999999997</v>
      </c>
      <c r="O168" s="64">
        <v>4100</v>
      </c>
      <c r="P168" s="64">
        <v>9023</v>
      </c>
      <c r="Q168" s="64">
        <v>7350</v>
      </c>
      <c r="R168" s="64"/>
      <c r="S168" s="64"/>
      <c r="T168" s="64">
        <v>9023</v>
      </c>
      <c r="U168" s="64">
        <v>7350</v>
      </c>
      <c r="V168" s="64"/>
      <c r="W168" s="64"/>
      <c r="X168" s="64">
        <f>Y168+1678</f>
        <v>9023</v>
      </c>
      <c r="Y168" s="64">
        <v>7345</v>
      </c>
      <c r="Z168" s="64"/>
      <c r="AA168" s="64"/>
      <c r="AB168" s="64"/>
      <c r="AC168" s="64"/>
      <c r="AD168" s="64">
        <f t="shared" ref="AD168:AD174" si="199">AE168</f>
        <v>3500</v>
      </c>
      <c r="AE168" s="64">
        <v>3500</v>
      </c>
      <c r="AF168" s="64"/>
      <c r="AG168" s="64"/>
      <c r="AH168" s="64">
        <f>AI168</f>
        <v>2700</v>
      </c>
      <c r="AI168" s="64">
        <v>2700</v>
      </c>
      <c r="AJ168" s="64"/>
      <c r="AK168" s="64"/>
      <c r="AL168" s="64"/>
      <c r="AM168" s="64">
        <f>AN168+1678</f>
        <v>9023</v>
      </c>
      <c r="AN168" s="64">
        <v>7345</v>
      </c>
      <c r="AO168" s="17"/>
      <c r="AP168" s="17"/>
      <c r="AQ168" s="17"/>
      <c r="AR168" s="17">
        <v>190.60000000000036</v>
      </c>
      <c r="AS168" s="17">
        <f>AT168</f>
        <v>7154.4</v>
      </c>
      <c r="AT168" s="17">
        <f>AN168-AR168</f>
        <v>7154.4</v>
      </c>
      <c r="AU168" s="17"/>
      <c r="AV168" s="17"/>
      <c r="AW168" s="141"/>
      <c r="AX168" s="79"/>
      <c r="AZ168" s="13"/>
      <c r="BA168" s="13"/>
    </row>
    <row r="169" spans="1:53" s="14" customFormat="1" ht="47.25" x14ac:dyDescent="0.25">
      <c r="A169" s="49">
        <v>2</v>
      </c>
      <c r="B169" s="254" t="s">
        <v>386</v>
      </c>
      <c r="C169" s="57"/>
      <c r="D169" s="75" t="s">
        <v>387</v>
      </c>
      <c r="E169" s="75" t="s">
        <v>384</v>
      </c>
      <c r="F169" s="75" t="s">
        <v>388</v>
      </c>
      <c r="G169" s="64">
        <v>3000</v>
      </c>
      <c r="H169" s="64">
        <v>3000</v>
      </c>
      <c r="I169" s="64"/>
      <c r="J169" s="64"/>
      <c r="K169" s="64"/>
      <c r="L169" s="64">
        <v>1050</v>
      </c>
      <c r="M169" s="64">
        <v>1050</v>
      </c>
      <c r="N169" s="64">
        <v>978.79100000000005</v>
      </c>
      <c r="O169" s="64">
        <f t="shared" ref="O169:O174" si="200">N169</f>
        <v>978.79100000000005</v>
      </c>
      <c r="P169" s="64">
        <v>1950</v>
      </c>
      <c r="Q169" s="64">
        <v>1950</v>
      </c>
      <c r="R169" s="64"/>
      <c r="S169" s="64"/>
      <c r="T169" s="64">
        <v>1950</v>
      </c>
      <c r="U169" s="64">
        <v>1950</v>
      </c>
      <c r="V169" s="64"/>
      <c r="W169" s="64"/>
      <c r="X169" s="64">
        <f t="shared" ref="X169:X174" si="201">Y169</f>
        <v>1869</v>
      </c>
      <c r="Y169" s="64">
        <v>1869</v>
      </c>
      <c r="Z169" s="64"/>
      <c r="AA169" s="64"/>
      <c r="AB169" s="64"/>
      <c r="AC169" s="64"/>
      <c r="AD169" s="64">
        <f t="shared" si="199"/>
        <v>1400</v>
      </c>
      <c r="AE169" s="64">
        <v>1400</v>
      </c>
      <c r="AF169" s="64"/>
      <c r="AG169" s="64"/>
      <c r="AH169" s="64">
        <f t="shared" ref="AH169:AH174" si="202">AI169</f>
        <v>250</v>
      </c>
      <c r="AI169" s="64">
        <v>250</v>
      </c>
      <c r="AJ169" s="64"/>
      <c r="AK169" s="64"/>
      <c r="AL169" s="64"/>
      <c r="AM169" s="64">
        <f t="shared" ref="AM169:AM174" si="203">AN169</f>
        <v>1869</v>
      </c>
      <c r="AN169" s="64">
        <v>1869</v>
      </c>
      <c r="AO169" s="17"/>
      <c r="AP169" s="17"/>
      <c r="AQ169" s="17"/>
      <c r="AR169" s="17"/>
      <c r="AS169" s="17">
        <f>AT169</f>
        <v>1869</v>
      </c>
      <c r="AT169" s="17">
        <v>1869</v>
      </c>
      <c r="AU169" s="17"/>
      <c r="AV169" s="17"/>
      <c r="AW169" s="10"/>
      <c r="AX169" s="19"/>
      <c r="AZ169" s="13"/>
      <c r="BA169" s="13"/>
    </row>
    <row r="170" spans="1:53" s="14" customFormat="1" ht="47.25" x14ac:dyDescent="0.25">
      <c r="A170" s="49">
        <v>3</v>
      </c>
      <c r="B170" s="254" t="s">
        <v>389</v>
      </c>
      <c r="C170" s="57"/>
      <c r="D170" s="75" t="str">
        <f>+D169</f>
        <v>331,5m2</v>
      </c>
      <c r="E170" s="75" t="s">
        <v>384</v>
      </c>
      <c r="F170" s="75" t="s">
        <v>390</v>
      </c>
      <c r="G170" s="64">
        <v>3500</v>
      </c>
      <c r="H170" s="64">
        <v>3500</v>
      </c>
      <c r="I170" s="64"/>
      <c r="J170" s="64"/>
      <c r="K170" s="64"/>
      <c r="L170" s="64">
        <v>1225</v>
      </c>
      <c r="M170" s="64">
        <v>1225</v>
      </c>
      <c r="N170" s="64">
        <v>936</v>
      </c>
      <c r="O170" s="64">
        <f t="shared" si="200"/>
        <v>936</v>
      </c>
      <c r="P170" s="64">
        <v>2345</v>
      </c>
      <c r="Q170" s="64">
        <v>2095</v>
      </c>
      <c r="R170" s="64"/>
      <c r="S170" s="64"/>
      <c r="T170" s="64">
        <v>2345</v>
      </c>
      <c r="U170" s="64">
        <v>2095</v>
      </c>
      <c r="V170" s="64"/>
      <c r="W170" s="64"/>
      <c r="X170" s="64">
        <f>Y170</f>
        <v>1866</v>
      </c>
      <c r="Y170" s="64">
        <v>1866</v>
      </c>
      <c r="Z170" s="64"/>
      <c r="AA170" s="64"/>
      <c r="AB170" s="64"/>
      <c r="AC170" s="64"/>
      <c r="AD170" s="64">
        <f t="shared" si="199"/>
        <v>1100</v>
      </c>
      <c r="AE170" s="64">
        <v>1100</v>
      </c>
      <c r="AF170" s="64"/>
      <c r="AG170" s="64"/>
      <c r="AH170" s="64">
        <f t="shared" si="202"/>
        <v>830</v>
      </c>
      <c r="AI170" s="64">
        <v>830</v>
      </c>
      <c r="AJ170" s="64"/>
      <c r="AK170" s="64"/>
      <c r="AL170" s="64"/>
      <c r="AM170" s="64">
        <f>AN170</f>
        <v>1866</v>
      </c>
      <c r="AN170" s="64">
        <v>1866</v>
      </c>
      <c r="AO170" s="17"/>
      <c r="AP170" s="17"/>
      <c r="AQ170" s="391">
        <v>0.5</v>
      </c>
      <c r="AR170" s="391"/>
      <c r="AS170" s="391">
        <f t="shared" ref="AS170:AS173" si="204">AT170</f>
        <v>1866.5</v>
      </c>
      <c r="AT170" s="391">
        <f>AN170+AQ170</f>
        <v>1866.5</v>
      </c>
      <c r="AU170" s="17"/>
      <c r="AV170" s="17"/>
      <c r="AW170" s="141"/>
      <c r="AZ170" s="13"/>
      <c r="BA170" s="13"/>
    </row>
    <row r="171" spans="1:53" s="14" customFormat="1" ht="47.25" x14ac:dyDescent="0.25">
      <c r="A171" s="49">
        <v>4</v>
      </c>
      <c r="B171" s="254" t="s">
        <v>391</v>
      </c>
      <c r="C171" s="57"/>
      <c r="D171" s="75" t="str">
        <f>+D170</f>
        <v>331,5m2</v>
      </c>
      <c r="E171" s="75" t="s">
        <v>384</v>
      </c>
      <c r="F171" s="75" t="s">
        <v>392</v>
      </c>
      <c r="G171" s="64">
        <v>3300</v>
      </c>
      <c r="H171" s="64">
        <v>3300</v>
      </c>
      <c r="I171" s="64"/>
      <c r="J171" s="64"/>
      <c r="K171" s="64"/>
      <c r="L171" s="64">
        <v>1155</v>
      </c>
      <c r="M171" s="64">
        <v>1155</v>
      </c>
      <c r="N171" s="64">
        <v>438</v>
      </c>
      <c r="O171" s="64">
        <f t="shared" si="200"/>
        <v>438</v>
      </c>
      <c r="P171" s="64">
        <v>2075</v>
      </c>
      <c r="Q171" s="64">
        <v>1875</v>
      </c>
      <c r="R171" s="64"/>
      <c r="S171" s="64"/>
      <c r="T171" s="64">
        <v>2075</v>
      </c>
      <c r="U171" s="64">
        <v>1875</v>
      </c>
      <c r="V171" s="64"/>
      <c r="W171" s="64"/>
      <c r="X171" s="64">
        <f>Y171</f>
        <v>1804</v>
      </c>
      <c r="Y171" s="64">
        <v>1804</v>
      </c>
      <c r="Z171" s="64"/>
      <c r="AA171" s="64"/>
      <c r="AB171" s="64"/>
      <c r="AC171" s="64"/>
      <c r="AD171" s="64">
        <f t="shared" si="199"/>
        <v>950</v>
      </c>
      <c r="AE171" s="64">
        <v>950</v>
      </c>
      <c r="AF171" s="64"/>
      <c r="AG171" s="64"/>
      <c r="AH171" s="64">
        <f t="shared" si="202"/>
        <v>870</v>
      </c>
      <c r="AI171" s="64">
        <v>870</v>
      </c>
      <c r="AJ171" s="64"/>
      <c r="AK171" s="64"/>
      <c r="AL171" s="64"/>
      <c r="AM171" s="64">
        <f>AN171</f>
        <v>1804</v>
      </c>
      <c r="AN171" s="64">
        <v>1804</v>
      </c>
      <c r="AO171" s="17"/>
      <c r="AP171" s="17"/>
      <c r="AQ171" s="17"/>
      <c r="AR171" s="17"/>
      <c r="AS171" s="17">
        <f t="shared" si="204"/>
        <v>1804</v>
      </c>
      <c r="AT171" s="17">
        <v>1804</v>
      </c>
      <c r="AU171" s="17"/>
      <c r="AV171" s="17"/>
      <c r="AW171" s="141"/>
      <c r="AZ171" s="13"/>
      <c r="BA171" s="13"/>
    </row>
    <row r="172" spans="1:53" s="14" customFormat="1" ht="47.25" x14ac:dyDescent="0.25">
      <c r="A172" s="49">
        <v>5</v>
      </c>
      <c r="B172" s="254" t="s">
        <v>393</v>
      </c>
      <c r="C172" s="57"/>
      <c r="D172" s="75" t="s">
        <v>394</v>
      </c>
      <c r="E172" s="75" t="s">
        <v>384</v>
      </c>
      <c r="F172" s="75" t="s">
        <v>395</v>
      </c>
      <c r="G172" s="64">
        <v>25000</v>
      </c>
      <c r="H172" s="64">
        <v>25000</v>
      </c>
      <c r="I172" s="64"/>
      <c r="J172" s="64"/>
      <c r="K172" s="64"/>
      <c r="L172" s="64">
        <v>8450</v>
      </c>
      <c r="M172" s="64">
        <v>8450</v>
      </c>
      <c r="N172" s="64">
        <f>O172</f>
        <v>8442</v>
      </c>
      <c r="O172" s="64">
        <v>8442</v>
      </c>
      <c r="P172" s="64">
        <v>16550</v>
      </c>
      <c r="Q172" s="64">
        <v>16550</v>
      </c>
      <c r="R172" s="64"/>
      <c r="S172" s="64"/>
      <c r="T172" s="64">
        <v>16550</v>
      </c>
      <c r="U172" s="64">
        <v>16550</v>
      </c>
      <c r="V172" s="64"/>
      <c r="W172" s="64"/>
      <c r="X172" s="64">
        <f t="shared" si="201"/>
        <v>16550</v>
      </c>
      <c r="Y172" s="64">
        <v>16550</v>
      </c>
      <c r="Z172" s="64"/>
      <c r="AA172" s="64"/>
      <c r="AB172" s="64"/>
      <c r="AC172" s="64"/>
      <c r="AD172" s="64">
        <f t="shared" si="199"/>
        <v>9078</v>
      </c>
      <c r="AE172" s="64">
        <f>8000+1078</f>
        <v>9078</v>
      </c>
      <c r="AF172" s="64"/>
      <c r="AG172" s="64"/>
      <c r="AH172" s="64">
        <f t="shared" si="202"/>
        <v>4780</v>
      </c>
      <c r="AI172" s="64">
        <v>4780</v>
      </c>
      <c r="AJ172" s="64"/>
      <c r="AK172" s="64"/>
      <c r="AL172" s="64"/>
      <c r="AM172" s="64">
        <f t="shared" si="203"/>
        <v>16550</v>
      </c>
      <c r="AN172" s="64">
        <v>16550</v>
      </c>
      <c r="AO172" s="17"/>
      <c r="AP172" s="17"/>
      <c r="AQ172" s="17"/>
      <c r="AR172" s="391">
        <v>730.60000000000036</v>
      </c>
      <c r="AS172" s="391">
        <f t="shared" si="204"/>
        <v>15819.4</v>
      </c>
      <c r="AT172" s="391">
        <f>AN172-AR172</f>
        <v>15819.4</v>
      </c>
      <c r="AU172" s="17"/>
      <c r="AV172" s="17"/>
      <c r="AW172" s="10"/>
      <c r="AX172" s="19"/>
      <c r="AZ172" s="13"/>
      <c r="BA172" s="13"/>
    </row>
    <row r="173" spans="1:53" s="14" customFormat="1" ht="47.25" x14ac:dyDescent="0.25">
      <c r="A173" s="49">
        <v>6</v>
      </c>
      <c r="B173" s="254" t="s">
        <v>396</v>
      </c>
      <c r="C173" s="57"/>
      <c r="D173" s="75" t="s">
        <v>397</v>
      </c>
      <c r="E173" s="75" t="s">
        <v>384</v>
      </c>
      <c r="F173" s="75" t="s">
        <v>398</v>
      </c>
      <c r="G173" s="64">
        <v>7800</v>
      </c>
      <c r="H173" s="64">
        <v>7800</v>
      </c>
      <c r="I173" s="64"/>
      <c r="J173" s="64"/>
      <c r="K173" s="64"/>
      <c r="L173" s="64">
        <v>2730</v>
      </c>
      <c r="M173" s="64">
        <v>2730</v>
      </c>
      <c r="N173" s="64">
        <v>2191.703</v>
      </c>
      <c r="O173" s="64">
        <f t="shared" si="200"/>
        <v>2191.703</v>
      </c>
      <c r="P173" s="64">
        <v>5070</v>
      </c>
      <c r="Q173" s="64">
        <v>5070</v>
      </c>
      <c r="R173" s="64"/>
      <c r="S173" s="64"/>
      <c r="T173" s="64">
        <v>5070</v>
      </c>
      <c r="U173" s="64">
        <v>5070</v>
      </c>
      <c r="V173" s="64"/>
      <c r="W173" s="64"/>
      <c r="X173" s="64">
        <f t="shared" si="201"/>
        <v>4792</v>
      </c>
      <c r="Y173" s="64">
        <v>4792</v>
      </c>
      <c r="Z173" s="64"/>
      <c r="AA173" s="64"/>
      <c r="AB173" s="64"/>
      <c r="AC173" s="64"/>
      <c r="AD173" s="64">
        <f t="shared" si="199"/>
        <v>1304</v>
      </c>
      <c r="AE173" s="64">
        <f>2340-1036</f>
        <v>1304</v>
      </c>
      <c r="AF173" s="64"/>
      <c r="AG173" s="64"/>
      <c r="AH173" s="64">
        <f t="shared" si="202"/>
        <v>2990</v>
      </c>
      <c r="AI173" s="64">
        <v>2990</v>
      </c>
      <c r="AJ173" s="64"/>
      <c r="AK173" s="64"/>
      <c r="AL173" s="64"/>
      <c r="AM173" s="64">
        <f t="shared" si="203"/>
        <v>4792</v>
      </c>
      <c r="AN173" s="64">
        <v>4792</v>
      </c>
      <c r="AO173" s="17"/>
      <c r="AP173" s="17"/>
      <c r="AQ173" s="17"/>
      <c r="AR173" s="391">
        <v>416.60000000000036</v>
      </c>
      <c r="AS173" s="391">
        <f t="shared" si="204"/>
        <v>4375.3999999999996</v>
      </c>
      <c r="AT173" s="391">
        <f>AN173-AR173</f>
        <v>4375.3999999999996</v>
      </c>
      <c r="AU173" s="17"/>
      <c r="AV173" s="17"/>
      <c r="AW173" s="10"/>
      <c r="AX173" s="19"/>
      <c r="AZ173" s="13"/>
      <c r="BA173" s="13"/>
    </row>
    <row r="174" spans="1:53" s="14" customFormat="1" ht="47.25" x14ac:dyDescent="0.25">
      <c r="A174" s="49">
        <v>7</v>
      </c>
      <c r="B174" s="254" t="s">
        <v>399</v>
      </c>
      <c r="C174" s="57"/>
      <c r="D174" s="75" t="s">
        <v>400</v>
      </c>
      <c r="E174" s="75" t="s">
        <v>384</v>
      </c>
      <c r="F174" s="75" t="s">
        <v>401</v>
      </c>
      <c r="G174" s="64">
        <v>3382</v>
      </c>
      <c r="H174" s="64">
        <v>3382</v>
      </c>
      <c r="I174" s="64"/>
      <c r="J174" s="64"/>
      <c r="K174" s="64"/>
      <c r="L174" s="64">
        <v>1190</v>
      </c>
      <c r="M174" s="64">
        <v>1190</v>
      </c>
      <c r="N174" s="64">
        <v>1190</v>
      </c>
      <c r="O174" s="64">
        <f t="shared" si="200"/>
        <v>1190</v>
      </c>
      <c r="P174" s="64">
        <v>2192</v>
      </c>
      <c r="Q174" s="64">
        <v>2192</v>
      </c>
      <c r="R174" s="64"/>
      <c r="S174" s="64"/>
      <c r="T174" s="64">
        <v>2192</v>
      </c>
      <c r="U174" s="64">
        <v>2192</v>
      </c>
      <c r="V174" s="64"/>
      <c r="W174" s="64"/>
      <c r="X174" s="64">
        <f t="shared" si="201"/>
        <v>1787</v>
      </c>
      <c r="Y174" s="64">
        <v>1787</v>
      </c>
      <c r="Z174" s="64"/>
      <c r="AA174" s="64"/>
      <c r="AB174" s="64"/>
      <c r="AC174" s="64"/>
      <c r="AD174" s="64">
        <f t="shared" si="199"/>
        <v>1050</v>
      </c>
      <c r="AE174" s="64">
        <v>1050</v>
      </c>
      <c r="AF174" s="64"/>
      <c r="AG174" s="64"/>
      <c r="AH174" s="64">
        <f t="shared" si="202"/>
        <v>810</v>
      </c>
      <c r="AI174" s="64">
        <v>810</v>
      </c>
      <c r="AJ174" s="64"/>
      <c r="AK174" s="64"/>
      <c r="AL174" s="64"/>
      <c r="AM174" s="64">
        <f t="shared" si="203"/>
        <v>1787</v>
      </c>
      <c r="AN174" s="64">
        <v>1787</v>
      </c>
      <c r="AO174" s="17"/>
      <c r="AP174" s="17"/>
      <c r="AQ174" s="17"/>
      <c r="AR174" s="391">
        <v>0.90000000000009095</v>
      </c>
      <c r="AS174" s="391">
        <f>AT174</f>
        <v>1786.1</v>
      </c>
      <c r="AT174" s="391">
        <f>AN174-AR174</f>
        <v>1786.1</v>
      </c>
      <c r="AU174" s="17"/>
      <c r="AV174" s="17"/>
      <c r="AW174" s="141"/>
      <c r="AX174" s="79"/>
      <c r="AZ174" s="13"/>
      <c r="BA174" s="13"/>
    </row>
    <row r="175" spans="1:53" s="14" customFormat="1" ht="31.5" x14ac:dyDescent="0.25">
      <c r="A175" s="3" t="s">
        <v>131</v>
      </c>
      <c r="B175" s="160" t="s">
        <v>132</v>
      </c>
      <c r="C175" s="57"/>
      <c r="D175" s="158"/>
      <c r="E175" s="158"/>
      <c r="F175" s="57"/>
      <c r="G175" s="38">
        <f t="shared" ref="G175:AV175" si="205">G176+G184</f>
        <v>79184</v>
      </c>
      <c r="H175" s="38">
        <f t="shared" si="205"/>
        <v>78394</v>
      </c>
      <c r="I175" s="37">
        <f t="shared" si="205"/>
        <v>0</v>
      </c>
      <c r="J175" s="37">
        <f t="shared" si="205"/>
        <v>0</v>
      </c>
      <c r="K175" s="37">
        <f t="shared" si="205"/>
        <v>0</v>
      </c>
      <c r="L175" s="37">
        <f t="shared" si="205"/>
        <v>0</v>
      </c>
      <c r="M175" s="37">
        <f t="shared" si="205"/>
        <v>0</v>
      </c>
      <c r="N175" s="37">
        <f t="shared" si="205"/>
        <v>0</v>
      </c>
      <c r="O175" s="37">
        <f t="shared" si="205"/>
        <v>0</v>
      </c>
      <c r="P175" s="37">
        <f t="shared" si="205"/>
        <v>69000</v>
      </c>
      <c r="Q175" s="37">
        <f t="shared" si="205"/>
        <v>69000</v>
      </c>
      <c r="R175" s="37">
        <f t="shared" si="205"/>
        <v>0</v>
      </c>
      <c r="S175" s="37">
        <f t="shared" si="205"/>
        <v>0</v>
      </c>
      <c r="T175" s="37">
        <f t="shared" si="205"/>
        <v>68000</v>
      </c>
      <c r="U175" s="37">
        <f t="shared" si="205"/>
        <v>68000</v>
      </c>
      <c r="V175" s="37">
        <f t="shared" si="205"/>
        <v>0</v>
      </c>
      <c r="W175" s="37">
        <f t="shared" si="205"/>
        <v>0</v>
      </c>
      <c r="X175" s="37">
        <f t="shared" si="205"/>
        <v>71445</v>
      </c>
      <c r="Y175" s="37">
        <f t="shared" si="205"/>
        <v>66445</v>
      </c>
      <c r="Z175" s="37">
        <f t="shared" si="205"/>
        <v>0</v>
      </c>
      <c r="AA175" s="37">
        <f t="shared" si="205"/>
        <v>0</v>
      </c>
      <c r="AB175" s="37">
        <f t="shared" si="205"/>
        <v>0</v>
      </c>
      <c r="AC175" s="37">
        <f t="shared" si="205"/>
        <v>0</v>
      </c>
      <c r="AD175" s="37">
        <f t="shared" si="205"/>
        <v>612</v>
      </c>
      <c r="AE175" s="37">
        <f t="shared" si="205"/>
        <v>612</v>
      </c>
      <c r="AF175" s="37">
        <f t="shared" si="205"/>
        <v>0</v>
      </c>
      <c r="AG175" s="37">
        <f t="shared" si="205"/>
        <v>0</v>
      </c>
      <c r="AH175" s="37">
        <f t="shared" si="205"/>
        <v>3848</v>
      </c>
      <c r="AI175" s="37">
        <f t="shared" si="205"/>
        <v>3848</v>
      </c>
      <c r="AJ175" s="37">
        <f t="shared" si="205"/>
        <v>0</v>
      </c>
      <c r="AK175" s="37">
        <f t="shared" si="205"/>
        <v>8022</v>
      </c>
      <c r="AL175" s="37">
        <f t="shared" si="205"/>
        <v>1214</v>
      </c>
      <c r="AM175" s="38">
        <f t="shared" si="205"/>
        <v>77364</v>
      </c>
      <c r="AN175" s="38">
        <f t="shared" si="205"/>
        <v>76594</v>
      </c>
      <c r="AO175" s="38">
        <f t="shared" si="205"/>
        <v>0</v>
      </c>
      <c r="AP175" s="38">
        <f t="shared" si="205"/>
        <v>0</v>
      </c>
      <c r="AQ175" s="38">
        <f t="shared" si="205"/>
        <v>0</v>
      </c>
      <c r="AR175" s="38">
        <f t="shared" si="205"/>
        <v>5.1000000000003638</v>
      </c>
      <c r="AS175" s="38">
        <f t="shared" si="205"/>
        <v>77377.899999999994</v>
      </c>
      <c r="AT175" s="38">
        <f t="shared" si="205"/>
        <v>76587.899999999994</v>
      </c>
      <c r="AU175" s="37">
        <f t="shared" si="205"/>
        <v>0</v>
      </c>
      <c r="AV175" s="37">
        <f t="shared" si="205"/>
        <v>0</v>
      </c>
      <c r="AW175" s="141"/>
      <c r="AX175" s="79"/>
      <c r="AZ175" s="13"/>
      <c r="BA175" s="13"/>
    </row>
    <row r="176" spans="1:53" s="14" customFormat="1" ht="47.25" x14ac:dyDescent="0.25">
      <c r="A176" s="3" t="s">
        <v>108</v>
      </c>
      <c r="B176" s="168" t="s">
        <v>133</v>
      </c>
      <c r="C176" s="57"/>
      <c r="D176" s="58"/>
      <c r="E176" s="59"/>
      <c r="F176" s="57"/>
      <c r="G176" s="38">
        <f t="shared" ref="G176:W176" si="206">SUM(G177:G183)</f>
        <v>69016</v>
      </c>
      <c r="H176" s="38">
        <f t="shared" si="206"/>
        <v>68796</v>
      </c>
      <c r="I176" s="255">
        <f t="shared" si="206"/>
        <v>0</v>
      </c>
      <c r="J176" s="255">
        <f t="shared" si="206"/>
        <v>0</v>
      </c>
      <c r="K176" s="255">
        <f t="shared" si="206"/>
        <v>0</v>
      </c>
      <c r="L176" s="255">
        <f t="shared" si="206"/>
        <v>0</v>
      </c>
      <c r="M176" s="255">
        <f t="shared" si="206"/>
        <v>0</v>
      </c>
      <c r="N176" s="255">
        <f t="shared" si="206"/>
        <v>0</v>
      </c>
      <c r="O176" s="255">
        <f t="shared" si="206"/>
        <v>0</v>
      </c>
      <c r="P176" s="255">
        <f t="shared" si="206"/>
        <v>69000</v>
      </c>
      <c r="Q176" s="255">
        <f t="shared" si="206"/>
        <v>69000</v>
      </c>
      <c r="R176" s="255">
        <f t="shared" si="206"/>
        <v>0</v>
      </c>
      <c r="S176" s="255">
        <f t="shared" si="206"/>
        <v>0</v>
      </c>
      <c r="T176" s="255">
        <f t="shared" si="206"/>
        <v>68000</v>
      </c>
      <c r="U176" s="255">
        <f t="shared" si="206"/>
        <v>68000</v>
      </c>
      <c r="V176" s="255">
        <f t="shared" si="206"/>
        <v>0</v>
      </c>
      <c r="W176" s="255">
        <f t="shared" si="206"/>
        <v>0</v>
      </c>
      <c r="X176" s="255">
        <f>SUM(X177:X183)</f>
        <v>71445</v>
      </c>
      <c r="Y176" s="255">
        <f t="shared" ref="Y176:AT176" si="207">SUM(Y177:Y183)</f>
        <v>66445</v>
      </c>
      <c r="Z176" s="255">
        <f t="shared" si="207"/>
        <v>0</v>
      </c>
      <c r="AA176" s="255">
        <f t="shared" si="207"/>
        <v>0</v>
      </c>
      <c r="AB176" s="255">
        <f t="shared" si="207"/>
        <v>0</v>
      </c>
      <c r="AC176" s="255">
        <f t="shared" si="207"/>
        <v>0</v>
      </c>
      <c r="AD176" s="255">
        <f t="shared" si="207"/>
        <v>612</v>
      </c>
      <c r="AE176" s="255">
        <f t="shared" si="207"/>
        <v>612</v>
      </c>
      <c r="AF176" s="255">
        <f t="shared" si="207"/>
        <v>0</v>
      </c>
      <c r="AG176" s="255">
        <f t="shared" si="207"/>
        <v>0</v>
      </c>
      <c r="AH176" s="255">
        <f t="shared" si="207"/>
        <v>3848</v>
      </c>
      <c r="AI176" s="255">
        <f t="shared" si="207"/>
        <v>3848</v>
      </c>
      <c r="AJ176" s="255">
        <f t="shared" si="207"/>
        <v>0</v>
      </c>
      <c r="AK176" s="255">
        <f t="shared" si="207"/>
        <v>3014</v>
      </c>
      <c r="AL176" s="255">
        <f t="shared" si="207"/>
        <v>1214</v>
      </c>
      <c r="AM176" s="38">
        <f t="shared" si="207"/>
        <v>67196</v>
      </c>
      <c r="AN176" s="38">
        <f t="shared" si="207"/>
        <v>66996</v>
      </c>
      <c r="AO176" s="38">
        <f t="shared" si="207"/>
        <v>0</v>
      </c>
      <c r="AP176" s="38">
        <f t="shared" si="207"/>
        <v>0</v>
      </c>
      <c r="AQ176" s="38">
        <f t="shared" si="207"/>
        <v>0</v>
      </c>
      <c r="AR176" s="38">
        <f t="shared" si="207"/>
        <v>5.1000000000003638</v>
      </c>
      <c r="AS176" s="38">
        <f t="shared" si="207"/>
        <v>67209.899999999994</v>
      </c>
      <c r="AT176" s="38">
        <f t="shared" si="207"/>
        <v>66989.899999999994</v>
      </c>
      <c r="AU176" s="255"/>
      <c r="AV176" s="255"/>
      <c r="AW176" s="141"/>
      <c r="AX176" s="79"/>
      <c r="AZ176" s="13"/>
      <c r="BA176" s="13"/>
    </row>
    <row r="177" spans="1:55" s="14" customFormat="1" ht="63" x14ac:dyDescent="0.25">
      <c r="A177" s="49">
        <v>1</v>
      </c>
      <c r="B177" s="256" t="s">
        <v>402</v>
      </c>
      <c r="C177" s="57"/>
      <c r="D177" s="75" t="s">
        <v>403</v>
      </c>
      <c r="E177" s="75" t="s">
        <v>404</v>
      </c>
      <c r="F177" s="75" t="s">
        <v>405</v>
      </c>
      <c r="G177" s="64">
        <v>18000</v>
      </c>
      <c r="H177" s="64">
        <v>18000</v>
      </c>
      <c r="I177" s="37"/>
      <c r="J177" s="37"/>
      <c r="K177" s="37"/>
      <c r="L177" s="17"/>
      <c r="M177" s="17"/>
      <c r="N177" s="17"/>
      <c r="O177" s="17"/>
      <c r="P177" s="17">
        <v>18000</v>
      </c>
      <c r="Q177" s="17">
        <v>18000</v>
      </c>
      <c r="R177" s="17"/>
      <c r="S177" s="17"/>
      <c r="T177" s="17">
        <v>18000</v>
      </c>
      <c r="U177" s="17">
        <v>18000</v>
      </c>
      <c r="V177" s="17"/>
      <c r="W177" s="17"/>
      <c r="X177" s="44">
        <f t="shared" ref="X177:X182" si="208">Y177</f>
        <v>16200</v>
      </c>
      <c r="Y177" s="44">
        <f>18000*0.9</f>
        <v>16200</v>
      </c>
      <c r="Z177" s="17"/>
      <c r="AA177" s="17"/>
      <c r="AB177" s="17"/>
      <c r="AC177" s="37"/>
      <c r="AD177" s="65">
        <f>AE177</f>
        <v>612</v>
      </c>
      <c r="AE177" s="65">
        <v>612</v>
      </c>
      <c r="AF177" s="17"/>
      <c r="AG177" s="17"/>
      <c r="AH177" s="44">
        <f>AI177</f>
        <v>2599</v>
      </c>
      <c r="AI177" s="44">
        <v>2599</v>
      </c>
      <c r="AJ177" s="17"/>
      <c r="AK177" s="17"/>
      <c r="AL177" s="17"/>
      <c r="AM177" s="64">
        <f>AN177</f>
        <v>16200</v>
      </c>
      <c r="AN177" s="64">
        <v>16200</v>
      </c>
      <c r="AO177" s="17"/>
      <c r="AP177" s="17"/>
      <c r="AQ177" s="17"/>
      <c r="AR177" s="17"/>
      <c r="AS177" s="17">
        <f>AT177</f>
        <v>16200</v>
      </c>
      <c r="AT177" s="17">
        <v>16200</v>
      </c>
      <c r="AU177" s="257"/>
      <c r="AV177" s="257"/>
      <c r="AW177" s="10" t="s">
        <v>406</v>
      </c>
      <c r="AX177" s="19"/>
      <c r="AZ177" s="13"/>
      <c r="BA177" s="13"/>
    </row>
    <row r="178" spans="1:55" s="14" customFormat="1" ht="47.25" x14ac:dyDescent="0.25">
      <c r="A178" s="49">
        <v>2</v>
      </c>
      <c r="B178" s="176" t="s">
        <v>407</v>
      </c>
      <c r="C178" s="41" t="s">
        <v>408</v>
      </c>
      <c r="D178" s="75" t="s">
        <v>409</v>
      </c>
      <c r="E178" s="75" t="s">
        <v>404</v>
      </c>
      <c r="F178" s="10" t="s">
        <v>410</v>
      </c>
      <c r="G178" s="64">
        <v>5951</v>
      </c>
      <c r="H178" s="64">
        <v>5921</v>
      </c>
      <c r="I178" s="37"/>
      <c r="J178" s="37"/>
      <c r="K178" s="37"/>
      <c r="L178" s="17"/>
      <c r="M178" s="17"/>
      <c r="N178" s="17"/>
      <c r="O178" s="17"/>
      <c r="P178" s="17">
        <v>7000</v>
      </c>
      <c r="Q178" s="17">
        <v>7000</v>
      </c>
      <c r="R178" s="17"/>
      <c r="S178" s="17"/>
      <c r="T178" s="17">
        <v>7000</v>
      </c>
      <c r="U178" s="17">
        <v>7000</v>
      </c>
      <c r="V178" s="17"/>
      <c r="W178" s="17"/>
      <c r="X178" s="44">
        <f t="shared" si="208"/>
        <v>7000</v>
      </c>
      <c r="Y178" s="44">
        <v>7000</v>
      </c>
      <c r="Z178" s="17"/>
      <c r="AA178" s="17"/>
      <c r="AB178" s="17"/>
      <c r="AC178" s="37"/>
      <c r="AD178" s="17"/>
      <c r="AE178" s="17"/>
      <c r="AF178" s="17"/>
      <c r="AG178" s="17"/>
      <c r="AH178" s="44">
        <f>AI178</f>
        <v>200</v>
      </c>
      <c r="AI178" s="44">
        <v>200</v>
      </c>
      <c r="AJ178" s="17"/>
      <c r="AK178" s="44"/>
      <c r="AL178" s="44">
        <v>1079</v>
      </c>
      <c r="AM178" s="64">
        <f>AN178+30</f>
        <v>5951</v>
      </c>
      <c r="AN178" s="64">
        <f>Y178-AL178</f>
        <v>5921</v>
      </c>
      <c r="AO178" s="17"/>
      <c r="AP178" s="17"/>
      <c r="AQ178" s="17"/>
      <c r="AR178" s="17"/>
      <c r="AS178" s="17">
        <f>AT178+30</f>
        <v>5950</v>
      </c>
      <c r="AT178" s="17">
        <v>5920</v>
      </c>
      <c r="AU178" s="257"/>
      <c r="AV178" s="257"/>
      <c r="AW178" s="141"/>
      <c r="AX178" s="79"/>
      <c r="AZ178" s="13">
        <v>1</v>
      </c>
      <c r="BA178" s="13"/>
    </row>
    <row r="179" spans="1:55" s="14" customFormat="1" ht="47.25" x14ac:dyDescent="0.25">
      <c r="A179" s="49">
        <v>3</v>
      </c>
      <c r="B179" s="254" t="s">
        <v>411</v>
      </c>
      <c r="C179" s="41" t="s">
        <v>412</v>
      </c>
      <c r="D179" s="75" t="s">
        <v>413</v>
      </c>
      <c r="E179" s="75" t="s">
        <v>404</v>
      </c>
      <c r="F179" s="10" t="s">
        <v>414</v>
      </c>
      <c r="G179" s="64">
        <v>14000</v>
      </c>
      <c r="H179" s="64">
        <v>13935</v>
      </c>
      <c r="I179" s="37"/>
      <c r="J179" s="37"/>
      <c r="K179" s="37"/>
      <c r="L179" s="17"/>
      <c r="M179" s="17"/>
      <c r="N179" s="17"/>
      <c r="O179" s="17"/>
      <c r="P179" s="17">
        <v>14000</v>
      </c>
      <c r="Q179" s="17">
        <v>14000</v>
      </c>
      <c r="R179" s="17"/>
      <c r="S179" s="17"/>
      <c r="T179" s="17">
        <v>14000</v>
      </c>
      <c r="U179" s="17">
        <v>14000</v>
      </c>
      <c r="V179" s="17"/>
      <c r="W179" s="17"/>
      <c r="X179" s="44">
        <f t="shared" si="208"/>
        <v>14000</v>
      </c>
      <c r="Y179" s="44">
        <v>14000</v>
      </c>
      <c r="Z179" s="17"/>
      <c r="AA179" s="17"/>
      <c r="AB179" s="17"/>
      <c r="AC179" s="37"/>
      <c r="AD179" s="17"/>
      <c r="AE179" s="17"/>
      <c r="AF179" s="17"/>
      <c r="AG179" s="17"/>
      <c r="AH179" s="17">
        <f>AI179</f>
        <v>500</v>
      </c>
      <c r="AI179" s="44">
        <v>500</v>
      </c>
      <c r="AJ179" s="17"/>
      <c r="AK179" s="44"/>
      <c r="AL179" s="44">
        <v>65</v>
      </c>
      <c r="AM179" s="64">
        <f>AN179+65</f>
        <v>14000</v>
      </c>
      <c r="AN179" s="64">
        <f>Y179-AL179</f>
        <v>13935</v>
      </c>
      <c r="AO179" s="17"/>
      <c r="AP179" s="17"/>
      <c r="AQ179" s="17"/>
      <c r="AR179" s="391">
        <v>5.1000000000003638</v>
      </c>
      <c r="AS179" s="391">
        <f>AT179+65</f>
        <v>13994.9</v>
      </c>
      <c r="AT179" s="391">
        <f>AN179-AR179</f>
        <v>13929.9</v>
      </c>
      <c r="AU179" s="257"/>
      <c r="AV179" s="257"/>
      <c r="AW179" s="105"/>
      <c r="AX179" s="79"/>
      <c r="AZ179" s="13">
        <v>1</v>
      </c>
      <c r="BA179" s="13"/>
    </row>
    <row r="180" spans="1:55" s="14" customFormat="1" ht="47.25" x14ac:dyDescent="0.25">
      <c r="A180" s="49">
        <v>4</v>
      </c>
      <c r="B180" s="176" t="s">
        <v>415</v>
      </c>
      <c r="C180" s="57"/>
      <c r="D180" s="75" t="s">
        <v>416</v>
      </c>
      <c r="E180" s="258" t="s">
        <v>61</v>
      </c>
      <c r="F180" s="259" t="s">
        <v>554</v>
      </c>
      <c r="G180" s="33">
        <v>8000</v>
      </c>
      <c r="H180" s="33">
        <v>7965</v>
      </c>
      <c r="I180" s="37"/>
      <c r="J180" s="37"/>
      <c r="K180" s="37"/>
      <c r="L180" s="17"/>
      <c r="M180" s="17"/>
      <c r="N180" s="17"/>
      <c r="O180" s="17"/>
      <c r="P180" s="17">
        <v>8000</v>
      </c>
      <c r="Q180" s="17">
        <v>8000</v>
      </c>
      <c r="R180" s="17"/>
      <c r="S180" s="17"/>
      <c r="T180" s="17">
        <v>8000</v>
      </c>
      <c r="U180" s="17">
        <v>8000</v>
      </c>
      <c r="V180" s="17"/>
      <c r="W180" s="17"/>
      <c r="X180" s="44">
        <f t="shared" si="208"/>
        <v>8000</v>
      </c>
      <c r="Y180" s="44">
        <v>8000</v>
      </c>
      <c r="Z180" s="17"/>
      <c r="AA180" s="17"/>
      <c r="AB180" s="17"/>
      <c r="AC180" s="37"/>
      <c r="AD180" s="17"/>
      <c r="AE180" s="17"/>
      <c r="AF180" s="17"/>
      <c r="AG180" s="17"/>
      <c r="AH180" s="44">
        <f>AI180</f>
        <v>349</v>
      </c>
      <c r="AI180" s="44">
        <v>349</v>
      </c>
      <c r="AJ180" s="17"/>
      <c r="AK180" s="44">
        <v>1214</v>
      </c>
      <c r="AL180" s="44"/>
      <c r="AM180" s="33">
        <f>AN180+35</f>
        <v>8000</v>
      </c>
      <c r="AN180" s="33">
        <f>(Y180+AK180)-1249</f>
        <v>7965</v>
      </c>
      <c r="AO180" s="17"/>
      <c r="AP180" s="17"/>
      <c r="AQ180" s="17"/>
      <c r="AR180" s="17"/>
      <c r="AS180" s="17">
        <f>AT180+35</f>
        <v>8000</v>
      </c>
      <c r="AT180" s="17">
        <v>7965</v>
      </c>
      <c r="AU180" s="257"/>
      <c r="AV180" s="257"/>
      <c r="AW180" s="141"/>
      <c r="AZ180" s="13"/>
      <c r="BA180" s="13">
        <v>1</v>
      </c>
    </row>
    <row r="181" spans="1:55" s="14" customFormat="1" ht="47.25" x14ac:dyDescent="0.25">
      <c r="A181" s="49">
        <v>5</v>
      </c>
      <c r="B181" s="260" t="s">
        <v>417</v>
      </c>
      <c r="C181" s="41" t="s">
        <v>91</v>
      </c>
      <c r="D181" s="75" t="s">
        <v>418</v>
      </c>
      <c r="E181" s="25" t="s">
        <v>61</v>
      </c>
      <c r="F181" s="259" t="s">
        <v>556</v>
      </c>
      <c r="G181" s="86">
        <v>10245</v>
      </c>
      <c r="H181" s="33">
        <f>+G181-45</f>
        <v>10200</v>
      </c>
      <c r="I181" s="37"/>
      <c r="J181" s="37"/>
      <c r="K181" s="37"/>
      <c r="L181" s="17"/>
      <c r="M181" s="17"/>
      <c r="N181" s="17"/>
      <c r="O181" s="17"/>
      <c r="P181" s="17">
        <v>16000</v>
      </c>
      <c r="Q181" s="17">
        <v>16000</v>
      </c>
      <c r="R181" s="17"/>
      <c r="S181" s="17"/>
      <c r="T181" s="17">
        <v>15000</v>
      </c>
      <c r="U181" s="17">
        <v>15000</v>
      </c>
      <c r="V181" s="17"/>
      <c r="W181" s="17"/>
      <c r="X181" s="44">
        <f t="shared" si="208"/>
        <v>10245</v>
      </c>
      <c r="Y181" s="44">
        <v>10245</v>
      </c>
      <c r="Z181" s="17"/>
      <c r="AA181" s="17"/>
      <c r="AB181" s="17"/>
      <c r="AC181" s="37"/>
      <c r="AD181" s="17"/>
      <c r="AE181" s="17"/>
      <c r="AF181" s="17"/>
      <c r="AG181" s="17"/>
      <c r="AH181" s="17">
        <f>AI181</f>
        <v>0</v>
      </c>
      <c r="AI181" s="17">
        <v>0</v>
      </c>
      <c r="AJ181" s="17"/>
      <c r="AK181" s="44"/>
      <c r="AL181" s="44">
        <v>45</v>
      </c>
      <c r="AM181" s="64">
        <f>AN181+45</f>
        <v>10245</v>
      </c>
      <c r="AN181" s="64">
        <f>Y181-AL181</f>
        <v>10200</v>
      </c>
      <c r="AO181" s="17"/>
      <c r="AP181" s="17"/>
      <c r="AQ181" s="45"/>
      <c r="AR181" s="45"/>
      <c r="AS181" s="45">
        <f>AT181+45</f>
        <v>10245</v>
      </c>
      <c r="AT181" s="45">
        <v>10200</v>
      </c>
      <c r="AU181" s="261"/>
      <c r="AV181" s="261"/>
      <c r="AW181" s="262"/>
      <c r="AX181" s="79"/>
      <c r="AZ181" s="13">
        <v>1</v>
      </c>
      <c r="BA181" s="13"/>
    </row>
    <row r="182" spans="1:55" s="14" customFormat="1" ht="47.25" x14ac:dyDescent="0.25">
      <c r="A182" s="49">
        <v>6</v>
      </c>
      <c r="B182" s="146" t="s">
        <v>419</v>
      </c>
      <c r="C182" s="41" t="s">
        <v>90</v>
      </c>
      <c r="D182" s="75" t="s">
        <v>420</v>
      </c>
      <c r="E182" s="25" t="s">
        <v>61</v>
      </c>
      <c r="F182" s="259" t="s">
        <v>555</v>
      </c>
      <c r="G182" s="86">
        <v>5000</v>
      </c>
      <c r="H182" s="33">
        <f>+G182-25</f>
        <v>4975</v>
      </c>
      <c r="I182" s="37"/>
      <c r="J182" s="37"/>
      <c r="K182" s="37"/>
      <c r="L182" s="17"/>
      <c r="M182" s="17"/>
      <c r="N182" s="17"/>
      <c r="O182" s="17"/>
      <c r="P182" s="17"/>
      <c r="Q182" s="17"/>
      <c r="R182" s="17"/>
      <c r="S182" s="17"/>
      <c r="T182" s="17"/>
      <c r="U182" s="17"/>
      <c r="V182" s="17"/>
      <c r="W182" s="17"/>
      <c r="X182" s="44">
        <f t="shared" si="208"/>
        <v>5000</v>
      </c>
      <c r="Y182" s="44">
        <v>5000</v>
      </c>
      <c r="Z182" s="17"/>
      <c r="AA182" s="17"/>
      <c r="AB182" s="17"/>
      <c r="AC182" s="37"/>
      <c r="AD182" s="17"/>
      <c r="AE182" s="17"/>
      <c r="AF182" s="17"/>
      <c r="AG182" s="17"/>
      <c r="AH182" s="17"/>
      <c r="AI182" s="17"/>
      <c r="AJ182" s="17"/>
      <c r="AK182" s="44"/>
      <c r="AL182" s="44">
        <v>25</v>
      </c>
      <c r="AM182" s="64">
        <f>AN182+25</f>
        <v>5000</v>
      </c>
      <c r="AN182" s="64">
        <f>Y182-AL182</f>
        <v>4975</v>
      </c>
      <c r="AO182" s="17"/>
      <c r="AP182" s="17"/>
      <c r="AQ182" s="45"/>
      <c r="AR182" s="45"/>
      <c r="AS182" s="45">
        <f>AT182+25</f>
        <v>5000</v>
      </c>
      <c r="AT182" s="45">
        <v>4975</v>
      </c>
      <c r="AU182" s="261"/>
      <c r="AV182" s="261"/>
      <c r="AW182" s="262"/>
      <c r="AX182" s="79"/>
      <c r="AZ182" s="13">
        <v>1</v>
      </c>
      <c r="BA182" s="13"/>
    </row>
    <row r="183" spans="1:55" s="14" customFormat="1" ht="47.25" x14ac:dyDescent="0.25">
      <c r="A183" s="49">
        <v>7</v>
      </c>
      <c r="B183" s="176" t="s">
        <v>421</v>
      </c>
      <c r="C183" s="57"/>
      <c r="D183" s="75" t="s">
        <v>422</v>
      </c>
      <c r="E183" s="263" t="s">
        <v>50</v>
      </c>
      <c r="F183" s="1" t="s">
        <v>552</v>
      </c>
      <c r="G183" s="2">
        <v>7820</v>
      </c>
      <c r="H183" s="2">
        <v>7800</v>
      </c>
      <c r="I183" s="54"/>
      <c r="J183" s="54"/>
      <c r="K183" s="54"/>
      <c r="L183" s="55"/>
      <c r="M183" s="55"/>
      <c r="N183" s="55"/>
      <c r="O183" s="55"/>
      <c r="P183" s="55">
        <v>6000</v>
      </c>
      <c r="Q183" s="55">
        <v>6000</v>
      </c>
      <c r="R183" s="55"/>
      <c r="S183" s="55"/>
      <c r="T183" s="55">
        <v>6000</v>
      </c>
      <c r="U183" s="55">
        <v>6000</v>
      </c>
      <c r="V183" s="55"/>
      <c r="W183" s="55"/>
      <c r="X183" s="56">
        <v>11000</v>
      </c>
      <c r="Y183" s="56">
        <v>6000</v>
      </c>
      <c r="Z183" s="55"/>
      <c r="AA183" s="55"/>
      <c r="AB183" s="55"/>
      <c r="AC183" s="54"/>
      <c r="AD183" s="55">
        <v>0</v>
      </c>
      <c r="AE183" s="55">
        <v>0</v>
      </c>
      <c r="AF183" s="55"/>
      <c r="AG183" s="55"/>
      <c r="AH183" s="56">
        <f>AI183</f>
        <v>200</v>
      </c>
      <c r="AI183" s="56">
        <v>200</v>
      </c>
      <c r="AJ183" s="55"/>
      <c r="AK183" s="264">
        <v>1800</v>
      </c>
      <c r="AL183" s="264"/>
      <c r="AM183" s="33">
        <f>AN183</f>
        <v>7800</v>
      </c>
      <c r="AN183" s="33">
        <f>Y183+AK183</f>
        <v>7800</v>
      </c>
      <c r="AO183" s="55"/>
      <c r="AP183" s="55"/>
      <c r="AQ183" s="55"/>
      <c r="AR183" s="55"/>
      <c r="AS183" s="55">
        <f>AT183+20</f>
        <v>7820</v>
      </c>
      <c r="AT183" s="55">
        <v>7800</v>
      </c>
      <c r="AU183" s="265"/>
      <c r="AV183" s="265"/>
      <c r="AW183" s="10"/>
      <c r="AX183" s="19"/>
      <c r="AZ183" s="13"/>
      <c r="BA183" s="13"/>
    </row>
    <row r="184" spans="1:55" s="73" customFormat="1" ht="26.45" customHeight="1" x14ac:dyDescent="0.25">
      <c r="A184" s="317" t="s">
        <v>108</v>
      </c>
      <c r="B184" s="279" t="s">
        <v>553</v>
      </c>
      <c r="C184" s="71"/>
      <c r="D184" s="70"/>
      <c r="E184" s="69"/>
      <c r="F184" s="72">
        <f t="shared" ref="F184" si="209">SUM(F185:F187)</f>
        <v>0</v>
      </c>
      <c r="G184" s="108">
        <f t="shared" ref="G184:AS184" si="210">SUM(G185:G187)</f>
        <v>10168</v>
      </c>
      <c r="H184" s="108">
        <f t="shared" si="210"/>
        <v>9598</v>
      </c>
      <c r="I184" s="108">
        <f t="shared" si="210"/>
        <v>0</v>
      </c>
      <c r="J184" s="108">
        <f t="shared" si="210"/>
        <v>0</v>
      </c>
      <c r="K184" s="108">
        <f t="shared" si="210"/>
        <v>0</v>
      </c>
      <c r="L184" s="108">
        <f t="shared" si="210"/>
        <v>0</v>
      </c>
      <c r="M184" s="108">
        <f t="shared" si="210"/>
        <v>0</v>
      </c>
      <c r="N184" s="108">
        <f t="shared" si="210"/>
        <v>0</v>
      </c>
      <c r="O184" s="108">
        <f t="shared" si="210"/>
        <v>0</v>
      </c>
      <c r="P184" s="108">
        <f t="shared" si="210"/>
        <v>0</v>
      </c>
      <c r="Q184" s="108">
        <f t="shared" si="210"/>
        <v>0</v>
      </c>
      <c r="R184" s="108">
        <f t="shared" si="210"/>
        <v>0</v>
      </c>
      <c r="S184" s="108">
        <f t="shared" si="210"/>
        <v>0</v>
      </c>
      <c r="T184" s="108">
        <f t="shared" si="210"/>
        <v>0</v>
      </c>
      <c r="U184" s="108">
        <f t="shared" si="210"/>
        <v>0</v>
      </c>
      <c r="V184" s="108">
        <f t="shared" si="210"/>
        <v>0</v>
      </c>
      <c r="W184" s="108">
        <f t="shared" si="210"/>
        <v>0</v>
      </c>
      <c r="X184" s="108">
        <f t="shared" si="210"/>
        <v>0</v>
      </c>
      <c r="Y184" s="108">
        <f t="shared" si="210"/>
        <v>0</v>
      </c>
      <c r="Z184" s="108">
        <f t="shared" si="210"/>
        <v>0</v>
      </c>
      <c r="AA184" s="108">
        <f t="shared" si="210"/>
        <v>0</v>
      </c>
      <c r="AB184" s="108">
        <f t="shared" si="210"/>
        <v>0</v>
      </c>
      <c r="AC184" s="108">
        <f t="shared" si="210"/>
        <v>0</v>
      </c>
      <c r="AD184" s="108">
        <f t="shared" si="210"/>
        <v>0</v>
      </c>
      <c r="AE184" s="108">
        <f t="shared" si="210"/>
        <v>0</v>
      </c>
      <c r="AF184" s="108">
        <f t="shared" si="210"/>
        <v>0</v>
      </c>
      <c r="AG184" s="108">
        <f t="shared" si="210"/>
        <v>0</v>
      </c>
      <c r="AH184" s="108">
        <f t="shared" si="210"/>
        <v>0</v>
      </c>
      <c r="AI184" s="108">
        <f t="shared" si="210"/>
        <v>0</v>
      </c>
      <c r="AJ184" s="108">
        <f t="shared" si="210"/>
        <v>0</v>
      </c>
      <c r="AK184" s="108">
        <f t="shared" si="210"/>
        <v>5008</v>
      </c>
      <c r="AL184" s="108">
        <f t="shared" si="210"/>
        <v>0</v>
      </c>
      <c r="AM184" s="108">
        <f t="shared" si="210"/>
        <v>10168</v>
      </c>
      <c r="AN184" s="108">
        <f t="shared" si="210"/>
        <v>9598</v>
      </c>
      <c r="AO184" s="108">
        <f t="shared" si="210"/>
        <v>0</v>
      </c>
      <c r="AP184" s="108">
        <f t="shared" si="210"/>
        <v>0</v>
      </c>
      <c r="AQ184" s="108">
        <f t="shared" si="210"/>
        <v>0</v>
      </c>
      <c r="AR184" s="108">
        <f t="shared" si="210"/>
        <v>0</v>
      </c>
      <c r="AS184" s="108">
        <f t="shared" si="210"/>
        <v>10168</v>
      </c>
      <c r="AT184" s="108">
        <f t="shared" ref="AT184" si="211">SUM(AT185:AT187)</f>
        <v>9598</v>
      </c>
      <c r="AU184" s="69"/>
      <c r="AV184" s="70"/>
      <c r="AW184" s="69"/>
      <c r="AX184" s="70"/>
      <c r="AY184" s="69"/>
      <c r="AZ184" s="70"/>
      <c r="BA184" s="69"/>
      <c r="BB184" s="70"/>
      <c r="BC184" s="69"/>
    </row>
    <row r="185" spans="1:55" s="14" customFormat="1" ht="50.45" customHeight="1" x14ac:dyDescent="0.25">
      <c r="A185" s="49">
        <v>1</v>
      </c>
      <c r="B185" s="74" t="s">
        <v>423</v>
      </c>
      <c r="C185" s="41" t="s">
        <v>424</v>
      </c>
      <c r="D185" s="75" t="s">
        <v>425</v>
      </c>
      <c r="E185" s="263" t="s">
        <v>52</v>
      </c>
      <c r="F185" s="1" t="s">
        <v>551</v>
      </c>
      <c r="G185" s="85">
        <v>5563</v>
      </c>
      <c r="H185" s="85">
        <v>5008</v>
      </c>
      <c r="I185" s="54"/>
      <c r="J185" s="54"/>
      <c r="K185" s="54"/>
      <c r="L185" s="76"/>
      <c r="M185" s="76"/>
      <c r="N185" s="76"/>
      <c r="O185" s="76"/>
      <c r="P185" s="76"/>
      <c r="Q185" s="76"/>
      <c r="R185" s="76"/>
      <c r="S185" s="76"/>
      <c r="T185" s="76"/>
      <c r="U185" s="76"/>
      <c r="V185" s="76"/>
      <c r="W185" s="76"/>
      <c r="X185" s="77"/>
      <c r="Y185" s="77"/>
      <c r="Z185" s="76"/>
      <c r="AA185" s="76"/>
      <c r="AB185" s="76"/>
      <c r="AC185" s="54"/>
      <c r="AD185" s="76"/>
      <c r="AE185" s="76"/>
      <c r="AF185" s="76"/>
      <c r="AG185" s="76"/>
      <c r="AH185" s="76"/>
      <c r="AI185" s="76"/>
      <c r="AJ185" s="76"/>
      <c r="AK185" s="56">
        <v>5008</v>
      </c>
      <c r="AL185" s="56"/>
      <c r="AM185" s="53">
        <v>5563</v>
      </c>
      <c r="AN185" s="64">
        <v>5008</v>
      </c>
      <c r="AO185" s="55"/>
      <c r="AP185" s="55"/>
      <c r="AQ185" s="55"/>
      <c r="AR185" s="55"/>
      <c r="AS185" s="64">
        <f>AT185+555</f>
        <v>5563</v>
      </c>
      <c r="AT185" s="64">
        <v>5008</v>
      </c>
      <c r="AU185" s="78"/>
      <c r="AV185" s="78"/>
      <c r="AW185" s="106" t="s">
        <v>426</v>
      </c>
      <c r="AX185" s="79"/>
    </row>
    <row r="186" spans="1:55" s="32" customFormat="1" ht="47.25" x14ac:dyDescent="0.25">
      <c r="A186" s="49">
        <v>2</v>
      </c>
      <c r="B186" s="74" t="s">
        <v>542</v>
      </c>
      <c r="C186" s="25" t="s">
        <v>544</v>
      </c>
      <c r="D186" s="81"/>
      <c r="E186" s="263" t="s">
        <v>52</v>
      </c>
      <c r="F186" s="1" t="s">
        <v>549</v>
      </c>
      <c r="G186" s="85">
        <v>3010</v>
      </c>
      <c r="H186" s="85">
        <v>3000</v>
      </c>
      <c r="I186" s="82"/>
      <c r="J186" s="83"/>
      <c r="K186" s="82"/>
      <c r="L186" s="83"/>
      <c r="M186" s="82"/>
      <c r="N186" s="83"/>
      <c r="O186" s="82"/>
      <c r="P186" s="83"/>
      <c r="Q186" s="82"/>
      <c r="R186" s="83"/>
      <c r="S186" s="82"/>
      <c r="T186" s="83"/>
      <c r="U186" s="82"/>
      <c r="V186" s="83"/>
      <c r="W186" s="82"/>
      <c r="X186" s="83"/>
      <c r="Y186" s="82"/>
      <c r="Z186" s="83"/>
      <c r="AA186" s="82"/>
      <c r="AB186" s="83"/>
      <c r="AC186" s="82"/>
      <c r="AD186" s="83"/>
      <c r="AE186" s="82"/>
      <c r="AF186" s="83"/>
      <c r="AG186" s="82"/>
      <c r="AH186" s="83"/>
      <c r="AI186" s="82"/>
      <c r="AJ186" s="83"/>
      <c r="AK186" s="82"/>
      <c r="AL186" s="83"/>
      <c r="AM186" s="84">
        <f>AN186+10</f>
        <v>3010</v>
      </c>
      <c r="AN186" s="64">
        <v>3000</v>
      </c>
      <c r="AO186" s="82"/>
      <c r="AP186" s="83"/>
      <c r="AQ186" s="82"/>
      <c r="AR186" s="83"/>
      <c r="AS186" s="64">
        <f>AT186+10</f>
        <v>3010</v>
      </c>
      <c r="AT186" s="64">
        <v>3000</v>
      </c>
      <c r="AU186" s="80"/>
      <c r="AV186" s="81"/>
      <c r="AW186" s="80"/>
      <c r="AX186" s="81"/>
      <c r="AY186" s="80"/>
      <c r="AZ186" s="81"/>
      <c r="BA186" s="80"/>
      <c r="BB186" s="81"/>
      <c r="BC186" s="80"/>
    </row>
    <row r="187" spans="1:55" s="32" customFormat="1" ht="47.25" x14ac:dyDescent="0.25">
      <c r="A187" s="49">
        <v>3</v>
      </c>
      <c r="B187" s="74" t="s">
        <v>543</v>
      </c>
      <c r="C187" s="25" t="s">
        <v>545</v>
      </c>
      <c r="D187" s="81"/>
      <c r="E187" s="263" t="s">
        <v>52</v>
      </c>
      <c r="F187" s="1" t="s">
        <v>550</v>
      </c>
      <c r="G187" s="85">
        <v>1595</v>
      </c>
      <c r="H187" s="85">
        <v>1590</v>
      </c>
      <c r="I187" s="82"/>
      <c r="J187" s="83"/>
      <c r="K187" s="82"/>
      <c r="L187" s="83"/>
      <c r="M187" s="82"/>
      <c r="N187" s="83"/>
      <c r="O187" s="82"/>
      <c r="P187" s="83"/>
      <c r="Q187" s="82"/>
      <c r="R187" s="83"/>
      <c r="S187" s="82"/>
      <c r="T187" s="83"/>
      <c r="U187" s="82"/>
      <c r="V187" s="83"/>
      <c r="W187" s="82"/>
      <c r="X187" s="83"/>
      <c r="Y187" s="82"/>
      <c r="Z187" s="83"/>
      <c r="AA187" s="82"/>
      <c r="AB187" s="83"/>
      <c r="AC187" s="82"/>
      <c r="AD187" s="83"/>
      <c r="AE187" s="82"/>
      <c r="AF187" s="83"/>
      <c r="AG187" s="82"/>
      <c r="AH187" s="83"/>
      <c r="AI187" s="82"/>
      <c r="AJ187" s="83"/>
      <c r="AK187" s="82"/>
      <c r="AL187" s="83"/>
      <c r="AM187" s="84">
        <f>AN187+5</f>
        <v>1595</v>
      </c>
      <c r="AN187" s="64">
        <v>1590</v>
      </c>
      <c r="AO187" s="82"/>
      <c r="AP187" s="83"/>
      <c r="AQ187" s="82"/>
      <c r="AR187" s="83"/>
      <c r="AS187" s="64">
        <f>AT187+5</f>
        <v>1595</v>
      </c>
      <c r="AT187" s="64">
        <v>1590</v>
      </c>
      <c r="AU187" s="80"/>
      <c r="AV187" s="81"/>
      <c r="AW187" s="80"/>
      <c r="AX187" s="81"/>
      <c r="AY187" s="80"/>
      <c r="AZ187" s="81"/>
      <c r="BA187" s="80"/>
      <c r="BB187" s="81"/>
      <c r="BC187" s="80"/>
    </row>
    <row r="188" spans="1:55" s="14" customFormat="1" ht="23.45" customHeight="1" x14ac:dyDescent="0.25">
      <c r="A188" s="266"/>
      <c r="B188" s="267"/>
      <c r="C188" s="268"/>
      <c r="D188" s="269"/>
      <c r="E188" s="57"/>
      <c r="F188" s="270"/>
      <c r="G188" s="271"/>
      <c r="H188" s="271"/>
      <c r="I188" s="255"/>
      <c r="J188" s="255"/>
      <c r="K188" s="255"/>
      <c r="L188" s="271"/>
      <c r="M188" s="271"/>
      <c r="N188" s="271"/>
      <c r="O188" s="271"/>
      <c r="P188" s="271"/>
      <c r="Q188" s="271"/>
      <c r="R188" s="271"/>
      <c r="S188" s="271"/>
      <c r="T188" s="271"/>
      <c r="U188" s="271"/>
      <c r="V188" s="271"/>
      <c r="W188" s="271"/>
      <c r="X188" s="272"/>
      <c r="Y188" s="272"/>
      <c r="Z188" s="271"/>
      <c r="AA188" s="271"/>
      <c r="AB188" s="271"/>
      <c r="AC188" s="255"/>
      <c r="AD188" s="271"/>
      <c r="AE188" s="271"/>
      <c r="AF188" s="271"/>
      <c r="AG188" s="271"/>
      <c r="AH188" s="271"/>
      <c r="AI188" s="271"/>
      <c r="AJ188" s="271"/>
      <c r="AK188" s="273"/>
      <c r="AL188" s="273"/>
      <c r="AM188" s="255"/>
      <c r="AN188" s="255"/>
      <c r="AO188" s="271"/>
      <c r="AP188" s="271"/>
      <c r="AQ188" s="271"/>
      <c r="AR188" s="271"/>
      <c r="AS188" s="271"/>
      <c r="AT188" s="271"/>
      <c r="AU188" s="271"/>
      <c r="AV188" s="271"/>
      <c r="AW188" s="141"/>
      <c r="AX188" s="79"/>
    </row>
    <row r="189" spans="1:55" s="73" customFormat="1" ht="68.25" customHeight="1" x14ac:dyDescent="0.25">
      <c r="A189" s="274" t="s">
        <v>646</v>
      </c>
      <c r="B189" s="275" t="s">
        <v>427</v>
      </c>
      <c r="C189" s="71"/>
      <c r="D189" s="71"/>
      <c r="E189" s="71"/>
      <c r="F189" s="71"/>
      <c r="G189" s="116">
        <f t="shared" ref="G189:AU189" si="212">+G190+G211</f>
        <v>196054</v>
      </c>
      <c r="H189" s="116">
        <f t="shared" si="212"/>
        <v>192433.5</v>
      </c>
      <c r="I189" s="116">
        <f t="shared" si="212"/>
        <v>0</v>
      </c>
      <c r="J189" s="116">
        <f t="shared" si="212"/>
        <v>0</v>
      </c>
      <c r="K189" s="116">
        <f t="shared" si="212"/>
        <v>0</v>
      </c>
      <c r="L189" s="116">
        <f t="shared" si="212"/>
        <v>18000</v>
      </c>
      <c r="M189" s="116">
        <f t="shared" si="212"/>
        <v>18000</v>
      </c>
      <c r="N189" s="116">
        <f t="shared" si="212"/>
        <v>18000</v>
      </c>
      <c r="O189" s="116">
        <f t="shared" si="212"/>
        <v>18000</v>
      </c>
      <c r="P189" s="116">
        <f t="shared" si="212"/>
        <v>0</v>
      </c>
      <c r="Q189" s="116">
        <f t="shared" si="212"/>
        <v>0</v>
      </c>
      <c r="R189" s="116">
        <f t="shared" si="212"/>
        <v>0</v>
      </c>
      <c r="S189" s="116">
        <f t="shared" si="212"/>
        <v>0</v>
      </c>
      <c r="T189" s="116">
        <f t="shared" si="212"/>
        <v>0</v>
      </c>
      <c r="U189" s="116">
        <f t="shared" si="212"/>
        <v>0</v>
      </c>
      <c r="V189" s="116">
        <f t="shared" si="212"/>
        <v>0</v>
      </c>
      <c r="W189" s="116">
        <f t="shared" si="212"/>
        <v>0</v>
      </c>
      <c r="X189" s="116">
        <f t="shared" si="212"/>
        <v>168146</v>
      </c>
      <c r="Y189" s="116">
        <f t="shared" si="212"/>
        <v>163646</v>
      </c>
      <c r="Z189" s="116">
        <f t="shared" si="212"/>
        <v>0</v>
      </c>
      <c r="AA189" s="116">
        <f t="shared" si="212"/>
        <v>0</v>
      </c>
      <c r="AB189" s="116">
        <f t="shared" si="212"/>
        <v>0</v>
      </c>
      <c r="AC189" s="116">
        <f t="shared" si="212"/>
        <v>0</v>
      </c>
      <c r="AD189" s="116">
        <f t="shared" si="212"/>
        <v>29122</v>
      </c>
      <c r="AE189" s="116">
        <f t="shared" si="212"/>
        <v>29122</v>
      </c>
      <c r="AF189" s="116">
        <f t="shared" si="212"/>
        <v>0</v>
      </c>
      <c r="AG189" s="116">
        <f t="shared" si="212"/>
        <v>0</v>
      </c>
      <c r="AH189" s="116">
        <f t="shared" si="212"/>
        <v>26694.800000000003</v>
      </c>
      <c r="AI189" s="116">
        <f t="shared" si="212"/>
        <v>26694.800000000003</v>
      </c>
      <c r="AJ189" s="116">
        <f t="shared" si="212"/>
        <v>0</v>
      </c>
      <c r="AK189" s="116">
        <f t="shared" si="212"/>
        <v>11500</v>
      </c>
      <c r="AL189" s="116">
        <f t="shared" si="212"/>
        <v>8498.6800000000021</v>
      </c>
      <c r="AM189" s="116">
        <f t="shared" si="212"/>
        <v>170638.4</v>
      </c>
      <c r="AN189" s="116">
        <f t="shared" si="212"/>
        <v>170600.26199999999</v>
      </c>
      <c r="AO189" s="116">
        <f t="shared" si="212"/>
        <v>0</v>
      </c>
      <c r="AP189" s="116">
        <f t="shared" si="212"/>
        <v>0</v>
      </c>
      <c r="AQ189" s="116">
        <f t="shared" si="212"/>
        <v>0</v>
      </c>
      <c r="AR189" s="116">
        <f t="shared" si="212"/>
        <v>0</v>
      </c>
      <c r="AS189" s="116">
        <f t="shared" si="212"/>
        <v>180143.4</v>
      </c>
      <c r="AT189" s="116">
        <f t="shared" si="212"/>
        <v>170600.26199999999</v>
      </c>
      <c r="AU189" s="343">
        <f t="shared" si="212"/>
        <v>0</v>
      </c>
      <c r="AV189" s="344"/>
      <c r="AW189" s="344"/>
      <c r="AX189" s="116">
        <f>AT189</f>
        <v>170600.26199999999</v>
      </c>
      <c r="BB189" s="73">
        <v>163646</v>
      </c>
      <c r="BC189" s="73">
        <f>Y189-BB189</f>
        <v>0</v>
      </c>
    </row>
    <row r="190" spans="1:55" s="144" customFormat="1" ht="33" customHeight="1" x14ac:dyDescent="0.25">
      <c r="A190" s="276">
        <v>1</v>
      </c>
      <c r="B190" s="277" t="s">
        <v>428</v>
      </c>
      <c r="C190" s="142"/>
      <c r="D190" s="142"/>
      <c r="E190" s="142"/>
      <c r="F190" s="142"/>
      <c r="G190" s="38">
        <f t="shared" ref="G190:AN190" si="213">G191+G198</f>
        <v>100360</v>
      </c>
      <c r="H190" s="38">
        <f t="shared" si="213"/>
        <v>100360</v>
      </c>
      <c r="I190" s="38">
        <f t="shared" si="213"/>
        <v>0</v>
      </c>
      <c r="J190" s="38">
        <f t="shared" si="213"/>
        <v>0</v>
      </c>
      <c r="K190" s="38">
        <f t="shared" si="213"/>
        <v>0</v>
      </c>
      <c r="L190" s="38">
        <f t="shared" si="213"/>
        <v>18000</v>
      </c>
      <c r="M190" s="38">
        <f t="shared" si="213"/>
        <v>18000</v>
      </c>
      <c r="N190" s="38">
        <f t="shared" si="213"/>
        <v>18000</v>
      </c>
      <c r="O190" s="38">
        <f t="shared" si="213"/>
        <v>18000</v>
      </c>
      <c r="P190" s="38">
        <f t="shared" si="213"/>
        <v>0</v>
      </c>
      <c r="Q190" s="38">
        <f t="shared" si="213"/>
        <v>0</v>
      </c>
      <c r="R190" s="38">
        <f t="shared" si="213"/>
        <v>0</v>
      </c>
      <c r="S190" s="38">
        <f t="shared" si="213"/>
        <v>0</v>
      </c>
      <c r="T190" s="38">
        <f t="shared" si="213"/>
        <v>0</v>
      </c>
      <c r="U190" s="38">
        <f t="shared" si="213"/>
        <v>0</v>
      </c>
      <c r="V190" s="38">
        <f t="shared" si="213"/>
        <v>0</v>
      </c>
      <c r="W190" s="38">
        <f t="shared" si="213"/>
        <v>0</v>
      </c>
      <c r="X190" s="38">
        <f t="shared" si="213"/>
        <v>79760</v>
      </c>
      <c r="Y190" s="38">
        <f t="shared" si="213"/>
        <v>79760</v>
      </c>
      <c r="Z190" s="38">
        <f t="shared" si="213"/>
        <v>0</v>
      </c>
      <c r="AA190" s="38">
        <f t="shared" si="213"/>
        <v>0</v>
      </c>
      <c r="AB190" s="38">
        <f t="shared" si="213"/>
        <v>0</v>
      </c>
      <c r="AC190" s="38">
        <f t="shared" si="213"/>
        <v>0</v>
      </c>
      <c r="AD190" s="38">
        <f t="shared" si="213"/>
        <v>14622</v>
      </c>
      <c r="AE190" s="38">
        <f t="shared" si="213"/>
        <v>14622</v>
      </c>
      <c r="AF190" s="38">
        <f t="shared" si="213"/>
        <v>0</v>
      </c>
      <c r="AG190" s="38">
        <f t="shared" si="213"/>
        <v>0</v>
      </c>
      <c r="AH190" s="38">
        <f t="shared" si="213"/>
        <v>13011</v>
      </c>
      <c r="AI190" s="38">
        <f t="shared" si="213"/>
        <v>13011</v>
      </c>
      <c r="AJ190" s="38">
        <f t="shared" si="213"/>
        <v>0</v>
      </c>
      <c r="AK190" s="38">
        <f t="shared" si="213"/>
        <v>0</v>
      </c>
      <c r="AL190" s="38">
        <f t="shared" si="213"/>
        <v>1262.0800000000004</v>
      </c>
      <c r="AM190" s="38">
        <f t="shared" si="213"/>
        <v>79689</v>
      </c>
      <c r="AN190" s="38">
        <f t="shared" si="213"/>
        <v>83150.361999999994</v>
      </c>
      <c r="AO190" s="38">
        <f>+AO191+AO198</f>
        <v>0</v>
      </c>
      <c r="AP190" s="38">
        <f>+AP191+AP198</f>
        <v>0</v>
      </c>
      <c r="AQ190" s="38"/>
      <c r="AR190" s="38"/>
      <c r="AS190" s="38">
        <f>AS191+AS198</f>
        <v>89194</v>
      </c>
      <c r="AT190" s="38">
        <f>AT191+AT198</f>
        <v>83150.361999999994</v>
      </c>
      <c r="AU190" s="278"/>
      <c r="AV190" s="278"/>
      <c r="AW190" s="89"/>
      <c r="AX190" s="144" t="s">
        <v>672</v>
      </c>
    </row>
    <row r="191" spans="1:55" s="144" customFormat="1" ht="47.25" x14ac:dyDescent="0.25">
      <c r="A191" s="276" t="s">
        <v>106</v>
      </c>
      <c r="B191" s="277" t="s">
        <v>429</v>
      </c>
      <c r="C191" s="142"/>
      <c r="D191" s="142"/>
      <c r="E191" s="142"/>
      <c r="F191" s="142"/>
      <c r="G191" s="38">
        <f t="shared" ref="G191:AR192" si="214">G192</f>
        <v>45500</v>
      </c>
      <c r="H191" s="38">
        <f t="shared" si="214"/>
        <v>45500</v>
      </c>
      <c r="I191" s="38">
        <f t="shared" si="214"/>
        <v>0</v>
      </c>
      <c r="J191" s="38">
        <f t="shared" si="214"/>
        <v>0</v>
      </c>
      <c r="K191" s="38">
        <f t="shared" si="214"/>
        <v>0</v>
      </c>
      <c r="L191" s="38">
        <f t="shared" si="214"/>
        <v>18000</v>
      </c>
      <c r="M191" s="38">
        <f t="shared" si="214"/>
        <v>18000</v>
      </c>
      <c r="N191" s="38">
        <f t="shared" si="214"/>
        <v>18000</v>
      </c>
      <c r="O191" s="38">
        <f t="shared" si="214"/>
        <v>18000</v>
      </c>
      <c r="P191" s="38">
        <f t="shared" si="214"/>
        <v>0</v>
      </c>
      <c r="Q191" s="38">
        <f t="shared" si="214"/>
        <v>0</v>
      </c>
      <c r="R191" s="38">
        <f t="shared" si="214"/>
        <v>0</v>
      </c>
      <c r="S191" s="38">
        <f t="shared" si="214"/>
        <v>0</v>
      </c>
      <c r="T191" s="38">
        <f t="shared" si="214"/>
        <v>0</v>
      </c>
      <c r="U191" s="38">
        <f t="shared" si="214"/>
        <v>0</v>
      </c>
      <c r="V191" s="38">
        <f t="shared" si="214"/>
        <v>0</v>
      </c>
      <c r="W191" s="38">
        <f t="shared" si="214"/>
        <v>0</v>
      </c>
      <c r="X191" s="38">
        <f t="shared" si="214"/>
        <v>24900</v>
      </c>
      <c r="Y191" s="38">
        <f t="shared" si="214"/>
        <v>24900</v>
      </c>
      <c r="Z191" s="38">
        <f t="shared" si="214"/>
        <v>0</v>
      </c>
      <c r="AA191" s="38">
        <f t="shared" si="214"/>
        <v>0</v>
      </c>
      <c r="AB191" s="38">
        <f t="shared" si="214"/>
        <v>0</v>
      </c>
      <c r="AC191" s="38">
        <f t="shared" si="214"/>
        <v>0</v>
      </c>
      <c r="AD191" s="38">
        <f t="shared" si="214"/>
        <v>14622</v>
      </c>
      <c r="AE191" s="38">
        <f t="shared" si="214"/>
        <v>14622</v>
      </c>
      <c r="AF191" s="38">
        <f t="shared" si="214"/>
        <v>0</v>
      </c>
      <c r="AG191" s="38">
        <f t="shared" si="214"/>
        <v>0</v>
      </c>
      <c r="AH191" s="38">
        <f t="shared" si="214"/>
        <v>8788</v>
      </c>
      <c r="AI191" s="38">
        <f t="shared" si="214"/>
        <v>8788</v>
      </c>
      <c r="AJ191" s="38">
        <f t="shared" si="214"/>
        <v>0</v>
      </c>
      <c r="AK191" s="38">
        <f t="shared" si="214"/>
        <v>0</v>
      </c>
      <c r="AL191" s="38">
        <f t="shared" si="214"/>
        <v>0</v>
      </c>
      <c r="AM191" s="38">
        <f t="shared" si="214"/>
        <v>24900</v>
      </c>
      <c r="AN191" s="38">
        <f t="shared" si="214"/>
        <v>23197.442000000003</v>
      </c>
      <c r="AO191" s="38">
        <f t="shared" si="214"/>
        <v>0</v>
      </c>
      <c r="AP191" s="38">
        <f t="shared" si="214"/>
        <v>0</v>
      </c>
      <c r="AQ191" s="38">
        <f t="shared" si="214"/>
        <v>0</v>
      </c>
      <c r="AR191" s="38">
        <f t="shared" si="214"/>
        <v>0</v>
      </c>
      <c r="AS191" s="38">
        <f>AS192</f>
        <v>24900</v>
      </c>
      <c r="AT191" s="38">
        <f>AT192</f>
        <v>23197.442000000003</v>
      </c>
      <c r="AU191" s="278"/>
      <c r="AV191" s="278"/>
      <c r="AW191" s="89"/>
    </row>
    <row r="192" spans="1:55" s="144" customFormat="1" ht="35.1" customHeight="1" x14ac:dyDescent="0.25">
      <c r="A192" s="276" t="s">
        <v>102</v>
      </c>
      <c r="B192" s="277" t="s">
        <v>110</v>
      </c>
      <c r="C192" s="142"/>
      <c r="D192" s="142"/>
      <c r="E192" s="142"/>
      <c r="F192" s="142"/>
      <c r="G192" s="77">
        <f t="shared" si="214"/>
        <v>45500</v>
      </c>
      <c r="H192" s="77">
        <f t="shared" si="214"/>
        <v>45500</v>
      </c>
      <c r="I192" s="77">
        <f t="shared" si="214"/>
        <v>0</v>
      </c>
      <c r="J192" s="77">
        <f t="shared" si="214"/>
        <v>0</v>
      </c>
      <c r="K192" s="77">
        <f t="shared" si="214"/>
        <v>0</v>
      </c>
      <c r="L192" s="77">
        <f t="shared" si="214"/>
        <v>18000</v>
      </c>
      <c r="M192" s="77">
        <f t="shared" si="214"/>
        <v>18000</v>
      </c>
      <c r="N192" s="77">
        <f t="shared" si="214"/>
        <v>18000</v>
      </c>
      <c r="O192" s="77">
        <f t="shared" si="214"/>
        <v>18000</v>
      </c>
      <c r="P192" s="77">
        <f t="shared" si="214"/>
        <v>0</v>
      </c>
      <c r="Q192" s="77">
        <f t="shared" si="214"/>
        <v>0</v>
      </c>
      <c r="R192" s="77">
        <f t="shared" si="214"/>
        <v>0</v>
      </c>
      <c r="S192" s="77">
        <f t="shared" si="214"/>
        <v>0</v>
      </c>
      <c r="T192" s="77">
        <f t="shared" si="214"/>
        <v>0</v>
      </c>
      <c r="U192" s="77">
        <f t="shared" si="214"/>
        <v>0</v>
      </c>
      <c r="V192" s="77">
        <f t="shared" si="214"/>
        <v>0</v>
      </c>
      <c r="W192" s="77">
        <f t="shared" si="214"/>
        <v>0</v>
      </c>
      <c r="X192" s="77">
        <f t="shared" si="214"/>
        <v>24900</v>
      </c>
      <c r="Y192" s="77">
        <f t="shared" si="214"/>
        <v>24900</v>
      </c>
      <c r="Z192" s="77">
        <f t="shared" si="214"/>
        <v>0</v>
      </c>
      <c r="AA192" s="77">
        <f t="shared" si="214"/>
        <v>0</v>
      </c>
      <c r="AB192" s="77">
        <f t="shared" si="214"/>
        <v>0</v>
      </c>
      <c r="AC192" s="77">
        <f t="shared" si="214"/>
        <v>0</v>
      </c>
      <c r="AD192" s="77">
        <f t="shared" si="214"/>
        <v>14622</v>
      </c>
      <c r="AE192" s="77">
        <f t="shared" si="214"/>
        <v>14622</v>
      </c>
      <c r="AF192" s="77">
        <f t="shared" si="214"/>
        <v>0</v>
      </c>
      <c r="AG192" s="77">
        <f t="shared" si="214"/>
        <v>0</v>
      </c>
      <c r="AH192" s="77">
        <f t="shared" si="214"/>
        <v>8788</v>
      </c>
      <c r="AI192" s="77">
        <f t="shared" si="214"/>
        <v>8788</v>
      </c>
      <c r="AJ192" s="77">
        <f t="shared" si="214"/>
        <v>0</v>
      </c>
      <c r="AK192" s="77">
        <f t="shared" si="214"/>
        <v>0</v>
      </c>
      <c r="AL192" s="77">
        <f t="shared" si="214"/>
        <v>0</v>
      </c>
      <c r="AM192" s="77">
        <f t="shared" si="214"/>
        <v>24900</v>
      </c>
      <c r="AN192" s="77">
        <f t="shared" si="214"/>
        <v>23197.442000000003</v>
      </c>
      <c r="AO192" s="77">
        <f t="shared" si="214"/>
        <v>0</v>
      </c>
      <c r="AP192" s="77">
        <f t="shared" si="214"/>
        <v>0</v>
      </c>
      <c r="AQ192" s="77">
        <f t="shared" si="214"/>
        <v>0</v>
      </c>
      <c r="AR192" s="77">
        <f t="shared" si="214"/>
        <v>0</v>
      </c>
      <c r="AS192" s="77">
        <f t="shared" ref="AS192" si="215">AS193</f>
        <v>24900</v>
      </c>
      <c r="AT192" s="77">
        <f>AT193</f>
        <v>23197.442000000003</v>
      </c>
      <c r="AU192" s="278"/>
      <c r="AV192" s="278"/>
      <c r="AW192" s="89"/>
    </row>
    <row r="193" spans="1:55" s="144" customFormat="1" ht="63" x14ac:dyDescent="0.25">
      <c r="A193" s="345"/>
      <c r="B193" s="279" t="s">
        <v>430</v>
      </c>
      <c r="C193" s="142"/>
      <c r="D193" s="142"/>
      <c r="E193" s="142"/>
      <c r="F193" s="142"/>
      <c r="G193" s="346">
        <f t="shared" ref="G193:AS193" si="216">SUM(G194:G197)</f>
        <v>45500</v>
      </c>
      <c r="H193" s="346">
        <f t="shared" si="216"/>
        <v>45500</v>
      </c>
      <c r="I193" s="346">
        <f t="shared" si="216"/>
        <v>0</v>
      </c>
      <c r="J193" s="346">
        <f t="shared" si="216"/>
        <v>0</v>
      </c>
      <c r="K193" s="346">
        <f t="shared" si="216"/>
        <v>0</v>
      </c>
      <c r="L193" s="346">
        <f t="shared" si="216"/>
        <v>18000</v>
      </c>
      <c r="M193" s="346">
        <f t="shared" si="216"/>
        <v>18000</v>
      </c>
      <c r="N193" s="346">
        <f t="shared" si="216"/>
        <v>18000</v>
      </c>
      <c r="O193" s="346">
        <f t="shared" si="216"/>
        <v>18000</v>
      </c>
      <c r="P193" s="346">
        <f t="shared" si="216"/>
        <v>0</v>
      </c>
      <c r="Q193" s="346">
        <f t="shared" si="216"/>
        <v>0</v>
      </c>
      <c r="R193" s="346">
        <f t="shared" si="216"/>
        <v>0</v>
      </c>
      <c r="S193" s="346">
        <f t="shared" si="216"/>
        <v>0</v>
      </c>
      <c r="T193" s="346">
        <f t="shared" si="216"/>
        <v>0</v>
      </c>
      <c r="U193" s="346">
        <f t="shared" si="216"/>
        <v>0</v>
      </c>
      <c r="V193" s="346">
        <f t="shared" si="216"/>
        <v>0</v>
      </c>
      <c r="W193" s="346">
        <f t="shared" si="216"/>
        <v>0</v>
      </c>
      <c r="X193" s="346">
        <f t="shared" si="216"/>
        <v>24900</v>
      </c>
      <c r="Y193" s="346">
        <f t="shared" si="216"/>
        <v>24900</v>
      </c>
      <c r="Z193" s="346">
        <f t="shared" si="216"/>
        <v>0</v>
      </c>
      <c r="AA193" s="346">
        <f t="shared" si="216"/>
        <v>0</v>
      </c>
      <c r="AB193" s="346">
        <f t="shared" si="216"/>
        <v>0</v>
      </c>
      <c r="AC193" s="346">
        <f t="shared" si="216"/>
        <v>0</v>
      </c>
      <c r="AD193" s="346">
        <f t="shared" si="216"/>
        <v>14622</v>
      </c>
      <c r="AE193" s="346">
        <f t="shared" si="216"/>
        <v>14622</v>
      </c>
      <c r="AF193" s="346">
        <f t="shared" si="216"/>
        <v>0</v>
      </c>
      <c r="AG193" s="346">
        <f t="shared" si="216"/>
        <v>0</v>
      </c>
      <c r="AH193" s="346">
        <f t="shared" si="216"/>
        <v>8788</v>
      </c>
      <c r="AI193" s="346">
        <f t="shared" si="216"/>
        <v>8788</v>
      </c>
      <c r="AJ193" s="346">
        <f t="shared" si="216"/>
        <v>0</v>
      </c>
      <c r="AK193" s="346">
        <f t="shared" si="216"/>
        <v>0</v>
      </c>
      <c r="AL193" s="346">
        <f t="shared" si="216"/>
        <v>0</v>
      </c>
      <c r="AM193" s="346">
        <f t="shared" si="216"/>
        <v>24900</v>
      </c>
      <c r="AN193" s="346">
        <f t="shared" si="216"/>
        <v>23197.442000000003</v>
      </c>
      <c r="AO193" s="346">
        <f t="shared" si="216"/>
        <v>0</v>
      </c>
      <c r="AP193" s="346">
        <f t="shared" si="216"/>
        <v>0</v>
      </c>
      <c r="AQ193" s="346">
        <f t="shared" si="216"/>
        <v>0</v>
      </c>
      <c r="AR193" s="346">
        <f t="shared" si="216"/>
        <v>0</v>
      </c>
      <c r="AS193" s="346">
        <f t="shared" si="216"/>
        <v>24900</v>
      </c>
      <c r="AT193" s="346">
        <f>SUM(AT194:AT197)</f>
        <v>23197.442000000003</v>
      </c>
      <c r="AU193" s="347"/>
      <c r="AV193" s="347"/>
      <c r="AW193" s="348"/>
    </row>
    <row r="194" spans="1:55" ht="47.25" x14ac:dyDescent="0.25">
      <c r="A194" s="280">
        <v>1</v>
      </c>
      <c r="B194" s="74" t="s">
        <v>431</v>
      </c>
      <c r="C194" s="41" t="s">
        <v>432</v>
      </c>
      <c r="D194" s="41" t="s">
        <v>433</v>
      </c>
      <c r="E194" s="41" t="s">
        <v>384</v>
      </c>
      <c r="F194" s="41" t="s">
        <v>434</v>
      </c>
      <c r="G194" s="64">
        <v>8000</v>
      </c>
      <c r="H194" s="64">
        <v>8000</v>
      </c>
      <c r="I194" s="64"/>
      <c r="J194" s="64"/>
      <c r="K194" s="64"/>
      <c r="L194" s="64">
        <v>3200</v>
      </c>
      <c r="M194" s="64">
        <v>3200</v>
      </c>
      <c r="N194" s="64">
        <v>3200</v>
      </c>
      <c r="O194" s="64">
        <v>3200</v>
      </c>
      <c r="P194" s="56"/>
      <c r="Q194" s="56"/>
      <c r="R194" s="56"/>
      <c r="S194" s="56"/>
      <c r="T194" s="56"/>
      <c r="U194" s="56"/>
      <c r="V194" s="56"/>
      <c r="W194" s="56"/>
      <c r="X194" s="56">
        <v>4800</v>
      </c>
      <c r="Y194" s="56">
        <v>4800</v>
      </c>
      <c r="Z194" s="56"/>
      <c r="AA194" s="56"/>
      <c r="AB194" s="56"/>
      <c r="AC194" s="56"/>
      <c r="AD194" s="56">
        <v>4280</v>
      </c>
      <c r="AE194" s="56">
        <v>4280</v>
      </c>
      <c r="AF194" s="56"/>
      <c r="AG194" s="56"/>
      <c r="AH194" s="56"/>
      <c r="AI194" s="56"/>
      <c r="AJ194" s="56"/>
      <c r="AK194" s="56"/>
      <c r="AL194" s="56">
        <v>0</v>
      </c>
      <c r="AM194" s="64">
        <v>4800</v>
      </c>
      <c r="AN194" s="64">
        <v>4489.8599999999997</v>
      </c>
      <c r="AO194" s="64"/>
      <c r="AP194" s="64"/>
      <c r="AQ194" s="64"/>
      <c r="AR194" s="64"/>
      <c r="AS194" s="64">
        <v>4800</v>
      </c>
      <c r="AT194" s="64">
        <v>4489.8599999999997</v>
      </c>
      <c r="AU194" s="349"/>
      <c r="AV194" s="349"/>
      <c r="AW194" s="10"/>
      <c r="AX194" s="119"/>
    </row>
    <row r="195" spans="1:55" ht="47.25" x14ac:dyDescent="0.25">
      <c r="A195" s="280">
        <v>2</v>
      </c>
      <c r="B195" s="74" t="s">
        <v>435</v>
      </c>
      <c r="C195" s="41" t="s">
        <v>436</v>
      </c>
      <c r="D195" s="41" t="s">
        <v>437</v>
      </c>
      <c r="E195" s="41" t="s">
        <v>384</v>
      </c>
      <c r="F195" s="41" t="s">
        <v>438</v>
      </c>
      <c r="G195" s="64">
        <v>6500</v>
      </c>
      <c r="H195" s="64">
        <v>6500</v>
      </c>
      <c r="I195" s="64"/>
      <c r="J195" s="64"/>
      <c r="K195" s="64"/>
      <c r="L195" s="64">
        <v>2600</v>
      </c>
      <c r="M195" s="64">
        <v>2600</v>
      </c>
      <c r="N195" s="64">
        <v>2600</v>
      </c>
      <c r="O195" s="64">
        <v>2600</v>
      </c>
      <c r="P195" s="56"/>
      <c r="Q195" s="56"/>
      <c r="R195" s="56"/>
      <c r="S195" s="56"/>
      <c r="T195" s="56"/>
      <c r="U195" s="56"/>
      <c r="V195" s="56"/>
      <c r="W195" s="56"/>
      <c r="X195" s="56">
        <v>3900</v>
      </c>
      <c r="Y195" s="56">
        <v>3900</v>
      </c>
      <c r="Z195" s="56"/>
      <c r="AA195" s="56"/>
      <c r="AB195" s="56"/>
      <c r="AC195" s="56"/>
      <c r="AD195" s="56">
        <v>3330</v>
      </c>
      <c r="AE195" s="56">
        <v>3330</v>
      </c>
      <c r="AF195" s="56"/>
      <c r="AG195" s="56"/>
      <c r="AH195" s="56"/>
      <c r="AI195" s="56"/>
      <c r="AJ195" s="56"/>
      <c r="AK195" s="56"/>
      <c r="AL195" s="56">
        <v>0</v>
      </c>
      <c r="AM195" s="64">
        <v>3900</v>
      </c>
      <c r="AN195" s="64">
        <f>3330+61.75</f>
        <v>3391.75</v>
      </c>
      <c r="AO195" s="64"/>
      <c r="AP195" s="64"/>
      <c r="AQ195" s="64"/>
      <c r="AR195" s="64"/>
      <c r="AS195" s="64">
        <v>3900</v>
      </c>
      <c r="AT195" s="64">
        <f>3330+61.75</f>
        <v>3391.75</v>
      </c>
      <c r="AU195" s="349"/>
      <c r="AV195" s="349"/>
      <c r="AW195" s="10"/>
      <c r="AX195" s="119"/>
    </row>
    <row r="196" spans="1:55" ht="31.5" x14ac:dyDescent="0.25">
      <c r="A196" s="280">
        <v>3</v>
      </c>
      <c r="B196" s="74" t="s">
        <v>439</v>
      </c>
      <c r="C196" s="41" t="s">
        <v>440</v>
      </c>
      <c r="D196" s="41" t="s">
        <v>441</v>
      </c>
      <c r="E196" s="41" t="s">
        <v>384</v>
      </c>
      <c r="F196" s="41" t="s">
        <v>442</v>
      </c>
      <c r="G196" s="64">
        <v>5000</v>
      </c>
      <c r="H196" s="64">
        <v>5000</v>
      </c>
      <c r="I196" s="64"/>
      <c r="J196" s="64"/>
      <c r="K196" s="64"/>
      <c r="L196" s="64">
        <v>2000</v>
      </c>
      <c r="M196" s="64">
        <v>2000</v>
      </c>
      <c r="N196" s="64">
        <v>2000</v>
      </c>
      <c r="O196" s="64">
        <v>2000</v>
      </c>
      <c r="P196" s="56"/>
      <c r="Q196" s="56"/>
      <c r="R196" s="56"/>
      <c r="S196" s="56"/>
      <c r="T196" s="56"/>
      <c r="U196" s="56"/>
      <c r="V196" s="56"/>
      <c r="W196" s="56"/>
      <c r="X196" s="56">
        <v>3000</v>
      </c>
      <c r="Y196" s="56">
        <v>3000</v>
      </c>
      <c r="Z196" s="56"/>
      <c r="AA196" s="56"/>
      <c r="AB196" s="56"/>
      <c r="AC196" s="56"/>
      <c r="AD196" s="56">
        <v>2600</v>
      </c>
      <c r="AE196" s="56">
        <v>2600</v>
      </c>
      <c r="AF196" s="56"/>
      <c r="AG196" s="56"/>
      <c r="AH196" s="56"/>
      <c r="AI196" s="56"/>
      <c r="AJ196" s="56"/>
      <c r="AK196" s="56"/>
      <c r="AL196" s="56">
        <v>0</v>
      </c>
      <c r="AM196" s="64">
        <v>3000</v>
      </c>
      <c r="AN196" s="64">
        <f>2600+47.5</f>
        <v>2647.5</v>
      </c>
      <c r="AO196" s="64"/>
      <c r="AP196" s="64"/>
      <c r="AQ196" s="64"/>
      <c r="AR196" s="64"/>
      <c r="AS196" s="64">
        <v>3000</v>
      </c>
      <c r="AT196" s="64">
        <f>2600+47.5</f>
        <v>2647.5</v>
      </c>
      <c r="AU196" s="349"/>
      <c r="AV196" s="349"/>
      <c r="AW196" s="10"/>
      <c r="AX196" s="119"/>
    </row>
    <row r="197" spans="1:55" ht="53.25" customHeight="1" x14ac:dyDescent="0.25">
      <c r="A197" s="280">
        <v>4</v>
      </c>
      <c r="B197" s="74" t="s">
        <v>443</v>
      </c>
      <c r="C197" s="41" t="s">
        <v>444</v>
      </c>
      <c r="D197" s="41" t="s">
        <v>445</v>
      </c>
      <c r="E197" s="41" t="s">
        <v>446</v>
      </c>
      <c r="F197" s="41" t="s">
        <v>447</v>
      </c>
      <c r="G197" s="64">
        <v>26000</v>
      </c>
      <c r="H197" s="64">
        <v>26000</v>
      </c>
      <c r="I197" s="64"/>
      <c r="J197" s="64"/>
      <c r="K197" s="64"/>
      <c r="L197" s="64">
        <v>10200</v>
      </c>
      <c r="M197" s="64">
        <v>10200</v>
      </c>
      <c r="N197" s="64">
        <v>10200</v>
      </c>
      <c r="O197" s="64">
        <v>10200</v>
      </c>
      <c r="P197" s="56"/>
      <c r="Q197" s="56"/>
      <c r="R197" s="56"/>
      <c r="S197" s="56"/>
      <c r="T197" s="56"/>
      <c r="U197" s="56"/>
      <c r="V197" s="56"/>
      <c r="W197" s="56"/>
      <c r="X197" s="56">
        <v>13200</v>
      </c>
      <c r="Y197" s="56">
        <v>13200</v>
      </c>
      <c r="Z197" s="56"/>
      <c r="AA197" s="56"/>
      <c r="AB197" s="56"/>
      <c r="AC197" s="56"/>
      <c r="AD197" s="56">
        <f>4290+122</f>
        <v>4412</v>
      </c>
      <c r="AE197" s="56">
        <f>AD197</f>
        <v>4412</v>
      </c>
      <c r="AF197" s="56"/>
      <c r="AG197" s="56"/>
      <c r="AH197" s="56">
        <f>8910-122</f>
        <v>8788</v>
      </c>
      <c r="AI197" s="56">
        <f>AH197</f>
        <v>8788</v>
      </c>
      <c r="AJ197" s="56"/>
      <c r="AK197" s="56"/>
      <c r="AL197" s="56">
        <v>0</v>
      </c>
      <c r="AM197" s="64">
        <v>13200</v>
      </c>
      <c r="AN197" s="64">
        <v>12668.332</v>
      </c>
      <c r="AO197" s="64"/>
      <c r="AP197" s="64"/>
      <c r="AQ197" s="64"/>
      <c r="AR197" s="64"/>
      <c r="AS197" s="64">
        <v>13200</v>
      </c>
      <c r="AT197" s="64">
        <v>12668.332</v>
      </c>
      <c r="AU197" s="349"/>
      <c r="AV197" s="349"/>
      <c r="AW197" s="10"/>
      <c r="AX197" s="119"/>
    </row>
    <row r="198" spans="1:55" s="144" customFormat="1" ht="31.5" x14ac:dyDescent="0.25">
      <c r="A198" s="276" t="s">
        <v>131</v>
      </c>
      <c r="B198" s="277" t="s">
        <v>132</v>
      </c>
      <c r="C198" s="142"/>
      <c r="D198" s="142"/>
      <c r="E198" s="142"/>
      <c r="F198" s="142"/>
      <c r="G198" s="38">
        <f>+G199</f>
        <v>54860</v>
      </c>
      <c r="H198" s="38">
        <f>H199</f>
        <v>54860</v>
      </c>
      <c r="I198" s="38">
        <f t="shared" ref="I198:AL198" si="217">I199</f>
        <v>0</v>
      </c>
      <c r="J198" s="38">
        <f t="shared" si="217"/>
        <v>0</v>
      </c>
      <c r="K198" s="38">
        <f t="shared" si="217"/>
        <v>0</v>
      </c>
      <c r="L198" s="38">
        <f t="shared" si="217"/>
        <v>0</v>
      </c>
      <c r="M198" s="38">
        <f t="shared" si="217"/>
        <v>0</v>
      </c>
      <c r="N198" s="38">
        <f t="shared" si="217"/>
        <v>0</v>
      </c>
      <c r="O198" s="38">
        <f t="shared" si="217"/>
        <v>0</v>
      </c>
      <c r="P198" s="38">
        <f t="shared" si="217"/>
        <v>0</v>
      </c>
      <c r="Q198" s="38">
        <f t="shared" si="217"/>
        <v>0</v>
      </c>
      <c r="R198" s="38">
        <f t="shared" si="217"/>
        <v>0</v>
      </c>
      <c r="S198" s="38">
        <f t="shared" si="217"/>
        <v>0</v>
      </c>
      <c r="T198" s="38">
        <f t="shared" si="217"/>
        <v>0</v>
      </c>
      <c r="U198" s="38">
        <f t="shared" si="217"/>
        <v>0</v>
      </c>
      <c r="V198" s="38">
        <f t="shared" si="217"/>
        <v>0</v>
      </c>
      <c r="W198" s="38">
        <f t="shared" si="217"/>
        <v>0</v>
      </c>
      <c r="X198" s="38">
        <f t="shared" si="217"/>
        <v>54860</v>
      </c>
      <c r="Y198" s="38">
        <f t="shared" si="217"/>
        <v>54860</v>
      </c>
      <c r="Z198" s="38">
        <f t="shared" si="217"/>
        <v>0</v>
      </c>
      <c r="AA198" s="38">
        <f t="shared" si="217"/>
        <v>0</v>
      </c>
      <c r="AB198" s="38">
        <f t="shared" si="217"/>
        <v>0</v>
      </c>
      <c r="AC198" s="38">
        <f t="shared" si="217"/>
        <v>0</v>
      </c>
      <c r="AD198" s="38">
        <f t="shared" si="217"/>
        <v>0</v>
      </c>
      <c r="AE198" s="38">
        <f t="shared" si="217"/>
        <v>0</v>
      </c>
      <c r="AF198" s="38">
        <f t="shared" si="217"/>
        <v>0</v>
      </c>
      <c r="AG198" s="38">
        <f t="shared" si="217"/>
        <v>0</v>
      </c>
      <c r="AH198" s="38">
        <f t="shared" si="217"/>
        <v>4223</v>
      </c>
      <c r="AI198" s="38">
        <f t="shared" si="217"/>
        <v>4223</v>
      </c>
      <c r="AJ198" s="38">
        <f t="shared" si="217"/>
        <v>0</v>
      </c>
      <c r="AK198" s="38">
        <f t="shared" si="217"/>
        <v>0</v>
      </c>
      <c r="AL198" s="38">
        <f t="shared" si="217"/>
        <v>1262.0800000000004</v>
      </c>
      <c r="AM198" s="38">
        <v>54789</v>
      </c>
      <c r="AN198" s="38">
        <f>+AN199+AN208</f>
        <v>59952.92</v>
      </c>
      <c r="AO198" s="38"/>
      <c r="AP198" s="38"/>
      <c r="AQ198" s="38"/>
      <c r="AR198" s="38"/>
      <c r="AS198" s="38">
        <f>+AS199+AS208</f>
        <v>64294</v>
      </c>
      <c r="AT198" s="38">
        <f>+AT199+AT208</f>
        <v>59952.92</v>
      </c>
      <c r="AU198" s="278"/>
      <c r="AV198" s="278"/>
      <c r="AW198" s="89"/>
    </row>
    <row r="199" spans="1:55" s="144" customFormat="1" ht="63" x14ac:dyDescent="0.25">
      <c r="A199" s="345"/>
      <c r="B199" s="279" t="s">
        <v>448</v>
      </c>
      <c r="C199" s="142"/>
      <c r="D199" s="142"/>
      <c r="E199" s="142"/>
      <c r="F199" s="142"/>
      <c r="G199" s="38">
        <f>+SUM(G200:G207)</f>
        <v>54860</v>
      </c>
      <c r="H199" s="38">
        <f t="shared" ref="H199:X199" si="218">+SUM(H200:H207)</f>
        <v>54860</v>
      </c>
      <c r="I199" s="38">
        <f t="shared" si="218"/>
        <v>0</v>
      </c>
      <c r="J199" s="38">
        <f t="shared" si="218"/>
        <v>0</v>
      </c>
      <c r="K199" s="38">
        <f t="shared" si="218"/>
        <v>0</v>
      </c>
      <c r="L199" s="38">
        <f t="shared" si="218"/>
        <v>0</v>
      </c>
      <c r="M199" s="38">
        <f t="shared" si="218"/>
        <v>0</v>
      </c>
      <c r="N199" s="38">
        <f t="shared" si="218"/>
        <v>0</v>
      </c>
      <c r="O199" s="38">
        <f t="shared" si="218"/>
        <v>0</v>
      </c>
      <c r="P199" s="38">
        <f t="shared" si="218"/>
        <v>0</v>
      </c>
      <c r="Q199" s="38">
        <f t="shared" si="218"/>
        <v>0</v>
      </c>
      <c r="R199" s="38">
        <f t="shared" si="218"/>
        <v>0</v>
      </c>
      <c r="S199" s="38">
        <f t="shared" si="218"/>
        <v>0</v>
      </c>
      <c r="T199" s="38">
        <f t="shared" si="218"/>
        <v>0</v>
      </c>
      <c r="U199" s="38">
        <f t="shared" si="218"/>
        <v>0</v>
      </c>
      <c r="V199" s="38">
        <f t="shared" si="218"/>
        <v>0</v>
      </c>
      <c r="W199" s="38">
        <f t="shared" si="218"/>
        <v>0</v>
      </c>
      <c r="X199" s="38">
        <f t="shared" si="218"/>
        <v>54860</v>
      </c>
      <c r="Y199" s="38">
        <f>+SUM(Y200:Y207)</f>
        <v>54860</v>
      </c>
      <c r="Z199" s="38">
        <f t="shared" ref="Z199:AL199" si="219">+SUM(Z200:Z207)</f>
        <v>0</v>
      </c>
      <c r="AA199" s="38">
        <f t="shared" si="219"/>
        <v>0</v>
      </c>
      <c r="AB199" s="38">
        <f t="shared" si="219"/>
        <v>0</v>
      </c>
      <c r="AC199" s="38">
        <f t="shared" si="219"/>
        <v>0</v>
      </c>
      <c r="AD199" s="38">
        <f t="shared" si="219"/>
        <v>0</v>
      </c>
      <c r="AE199" s="38">
        <f t="shared" si="219"/>
        <v>0</v>
      </c>
      <c r="AF199" s="38">
        <f t="shared" si="219"/>
        <v>0</v>
      </c>
      <c r="AG199" s="38">
        <f t="shared" si="219"/>
        <v>0</v>
      </c>
      <c r="AH199" s="38">
        <f t="shared" si="219"/>
        <v>4223</v>
      </c>
      <c r="AI199" s="38">
        <f t="shared" si="219"/>
        <v>4223</v>
      </c>
      <c r="AJ199" s="38">
        <f t="shared" si="219"/>
        <v>0</v>
      </c>
      <c r="AK199" s="38">
        <f t="shared" si="219"/>
        <v>0</v>
      </c>
      <c r="AL199" s="38">
        <f t="shared" si="219"/>
        <v>1262.0800000000004</v>
      </c>
      <c r="AM199" s="38">
        <v>54789</v>
      </c>
      <c r="AN199" s="38">
        <f>SUM(AN200:AN207)</f>
        <v>53597.919999999998</v>
      </c>
      <c r="AO199" s="38"/>
      <c r="AP199" s="38"/>
      <c r="AQ199" s="38"/>
      <c r="AR199" s="38"/>
      <c r="AS199" s="38">
        <v>54789</v>
      </c>
      <c r="AT199" s="38">
        <f>SUM(AT200:AT207)</f>
        <v>53597.919999999998</v>
      </c>
      <c r="AU199" s="347"/>
      <c r="AV199" s="347"/>
      <c r="AW199" s="348"/>
    </row>
    <row r="200" spans="1:55" ht="31.5" x14ac:dyDescent="0.25">
      <c r="A200" s="280">
        <v>1</v>
      </c>
      <c r="B200" s="74" t="s">
        <v>449</v>
      </c>
      <c r="C200" s="41" t="s">
        <v>450</v>
      </c>
      <c r="D200" s="41" t="s">
        <v>451</v>
      </c>
      <c r="E200" s="41" t="s">
        <v>452</v>
      </c>
      <c r="F200" s="41" t="s">
        <v>453</v>
      </c>
      <c r="G200" s="64">
        <v>4300</v>
      </c>
      <c r="H200" s="64">
        <v>4300</v>
      </c>
      <c r="I200" s="349"/>
      <c r="J200" s="349"/>
      <c r="K200" s="349"/>
      <c r="L200" s="349"/>
      <c r="M200" s="349"/>
      <c r="N200" s="349"/>
      <c r="O200" s="349"/>
      <c r="P200" s="349"/>
      <c r="Q200" s="349"/>
      <c r="R200" s="349"/>
      <c r="S200" s="349"/>
      <c r="T200" s="349"/>
      <c r="U200" s="349"/>
      <c r="V200" s="349"/>
      <c r="W200" s="349"/>
      <c r="X200" s="349">
        <v>4300</v>
      </c>
      <c r="Y200" s="349">
        <v>4300</v>
      </c>
      <c r="Z200" s="349"/>
      <c r="AA200" s="349"/>
      <c r="AB200" s="349"/>
      <c r="AC200" s="349"/>
      <c r="AD200" s="265"/>
      <c r="AE200" s="265"/>
      <c r="AF200" s="349"/>
      <c r="AG200" s="349"/>
      <c r="AH200" s="349">
        <v>950</v>
      </c>
      <c r="AI200" s="349">
        <v>950</v>
      </c>
      <c r="AJ200" s="349"/>
      <c r="AK200" s="349"/>
      <c r="AL200" s="349">
        <f>+Y200-AN200</f>
        <v>229</v>
      </c>
      <c r="AM200" s="64">
        <v>4300</v>
      </c>
      <c r="AN200" s="350">
        <v>4071</v>
      </c>
      <c r="AO200" s="349"/>
      <c r="AP200" s="349"/>
      <c r="AQ200" s="349"/>
      <c r="AR200" s="349"/>
      <c r="AS200" s="64">
        <v>4300</v>
      </c>
      <c r="AT200" s="350">
        <v>4071</v>
      </c>
      <c r="AU200" s="349"/>
      <c r="AV200" s="349"/>
      <c r="AW200" s="10"/>
      <c r="AX200" s="119"/>
    </row>
    <row r="201" spans="1:55" ht="31.5" x14ac:dyDescent="0.25">
      <c r="A201" s="280">
        <v>2</v>
      </c>
      <c r="B201" s="74" t="s">
        <v>454</v>
      </c>
      <c r="C201" s="41" t="s">
        <v>455</v>
      </c>
      <c r="D201" s="41" t="s">
        <v>456</v>
      </c>
      <c r="E201" s="41" t="s">
        <v>457</v>
      </c>
      <c r="F201" s="41" t="s">
        <v>458</v>
      </c>
      <c r="G201" s="64">
        <v>8204</v>
      </c>
      <c r="H201" s="64">
        <v>8204</v>
      </c>
      <c r="I201" s="349"/>
      <c r="J201" s="349"/>
      <c r="K201" s="349"/>
      <c r="L201" s="349"/>
      <c r="M201" s="349"/>
      <c r="N201" s="349"/>
      <c r="O201" s="349"/>
      <c r="P201" s="349"/>
      <c r="Q201" s="349"/>
      <c r="R201" s="349"/>
      <c r="S201" s="349"/>
      <c r="T201" s="349"/>
      <c r="U201" s="349"/>
      <c r="V201" s="349"/>
      <c r="W201" s="349"/>
      <c r="X201" s="349">
        <v>8204</v>
      </c>
      <c r="Y201" s="349">
        <v>8204</v>
      </c>
      <c r="Z201" s="349"/>
      <c r="AA201" s="349"/>
      <c r="AB201" s="349"/>
      <c r="AC201" s="349"/>
      <c r="AD201" s="265"/>
      <c r="AE201" s="265"/>
      <c r="AF201" s="349"/>
      <c r="AG201" s="349"/>
      <c r="AH201" s="349">
        <v>1500</v>
      </c>
      <c r="AI201" s="349">
        <v>1500</v>
      </c>
      <c r="AJ201" s="349"/>
      <c r="AK201" s="349"/>
      <c r="AL201" s="349">
        <f t="shared" ref="AL201:AL206" si="220">+Y201-AN201</f>
        <v>272.07999999999993</v>
      </c>
      <c r="AM201" s="64">
        <v>8204</v>
      </c>
      <c r="AN201" s="350">
        <v>7931.92</v>
      </c>
      <c r="AO201" s="349"/>
      <c r="AP201" s="349"/>
      <c r="AQ201" s="349"/>
      <c r="AR201" s="349"/>
      <c r="AS201" s="64">
        <v>8204</v>
      </c>
      <c r="AT201" s="350">
        <v>7931.92</v>
      </c>
      <c r="AU201" s="349"/>
      <c r="AV201" s="349"/>
      <c r="AW201" s="10"/>
      <c r="AX201" s="119"/>
    </row>
    <row r="202" spans="1:55" ht="31.5" x14ac:dyDescent="0.25">
      <c r="A202" s="280">
        <v>3</v>
      </c>
      <c r="B202" s="74" t="s">
        <v>459</v>
      </c>
      <c r="C202" s="41" t="s">
        <v>460</v>
      </c>
      <c r="D202" s="41" t="s">
        <v>69</v>
      </c>
      <c r="E202" s="41" t="s">
        <v>461</v>
      </c>
      <c r="F202" s="41" t="s">
        <v>462</v>
      </c>
      <c r="G202" s="64">
        <v>2135</v>
      </c>
      <c r="H202" s="64">
        <v>2135</v>
      </c>
      <c r="I202" s="349"/>
      <c r="J202" s="349"/>
      <c r="K202" s="349"/>
      <c r="L202" s="349"/>
      <c r="M202" s="349"/>
      <c r="N202" s="349"/>
      <c r="O202" s="349"/>
      <c r="P202" s="349"/>
      <c r="Q202" s="349"/>
      <c r="R202" s="349"/>
      <c r="S202" s="349"/>
      <c r="T202" s="349"/>
      <c r="U202" s="349"/>
      <c r="V202" s="349"/>
      <c r="W202" s="349"/>
      <c r="X202" s="349">
        <v>2135</v>
      </c>
      <c r="Y202" s="349">
        <v>2135</v>
      </c>
      <c r="Z202" s="349"/>
      <c r="AA202" s="349"/>
      <c r="AB202" s="349"/>
      <c r="AC202" s="349"/>
      <c r="AD202" s="265"/>
      <c r="AE202" s="265"/>
      <c r="AF202" s="349"/>
      <c r="AG202" s="349"/>
      <c r="AH202" s="349">
        <v>480</v>
      </c>
      <c r="AI202" s="349">
        <v>480</v>
      </c>
      <c r="AJ202" s="349"/>
      <c r="AK202" s="349"/>
      <c r="AL202" s="349">
        <f t="shared" si="220"/>
        <v>165.91000000000008</v>
      </c>
      <c r="AM202" s="64">
        <v>2135</v>
      </c>
      <c r="AN202" s="350">
        <v>1969.09</v>
      </c>
      <c r="AO202" s="349"/>
      <c r="AP202" s="349"/>
      <c r="AQ202" s="349"/>
      <c r="AR202" s="349"/>
      <c r="AS202" s="64">
        <v>2135</v>
      </c>
      <c r="AT202" s="350">
        <v>1969.09</v>
      </c>
      <c r="AU202" s="349"/>
      <c r="AV202" s="349"/>
      <c r="AW202" s="10"/>
      <c r="AX202" s="119"/>
    </row>
    <row r="203" spans="1:55" ht="31.5" x14ac:dyDescent="0.25">
      <c r="A203" s="280">
        <v>4</v>
      </c>
      <c r="B203" s="74" t="s">
        <v>463</v>
      </c>
      <c r="C203" s="41" t="s">
        <v>464</v>
      </c>
      <c r="D203" s="41" t="s">
        <v>465</v>
      </c>
      <c r="E203" s="41" t="s">
        <v>461</v>
      </c>
      <c r="F203" s="41" t="s">
        <v>466</v>
      </c>
      <c r="G203" s="64">
        <v>4300</v>
      </c>
      <c r="H203" s="64">
        <v>4300</v>
      </c>
      <c r="I203" s="349"/>
      <c r="J203" s="349"/>
      <c r="K203" s="349"/>
      <c r="L203" s="349"/>
      <c r="M203" s="349"/>
      <c r="N203" s="349"/>
      <c r="O203" s="349"/>
      <c r="P203" s="349"/>
      <c r="Q203" s="349"/>
      <c r="R203" s="349"/>
      <c r="S203" s="349"/>
      <c r="T203" s="349"/>
      <c r="U203" s="349"/>
      <c r="V203" s="349"/>
      <c r="W203" s="349"/>
      <c r="X203" s="349">
        <v>4300</v>
      </c>
      <c r="Y203" s="349">
        <v>4300</v>
      </c>
      <c r="Z203" s="349"/>
      <c r="AA203" s="349"/>
      <c r="AB203" s="349"/>
      <c r="AC203" s="349"/>
      <c r="AD203" s="265"/>
      <c r="AE203" s="265"/>
      <c r="AF203" s="349"/>
      <c r="AG203" s="349"/>
      <c r="AH203" s="349">
        <v>950</v>
      </c>
      <c r="AI203" s="349">
        <v>950</v>
      </c>
      <c r="AJ203" s="349"/>
      <c r="AK203" s="349"/>
      <c r="AL203" s="349">
        <f t="shared" si="220"/>
        <v>151.68000000000029</v>
      </c>
      <c r="AM203" s="64">
        <v>4300</v>
      </c>
      <c r="AN203" s="350">
        <v>4148.32</v>
      </c>
      <c r="AO203" s="349"/>
      <c r="AP203" s="349"/>
      <c r="AQ203" s="349"/>
      <c r="AR203" s="349"/>
      <c r="AS203" s="64">
        <v>4300</v>
      </c>
      <c r="AT203" s="350">
        <v>4148.32</v>
      </c>
      <c r="AU203" s="349"/>
      <c r="AV203" s="349"/>
      <c r="AW203" s="10"/>
      <c r="AX203" s="119"/>
    </row>
    <row r="204" spans="1:55" ht="31.5" x14ac:dyDescent="0.25">
      <c r="A204" s="280">
        <v>5</v>
      </c>
      <c r="B204" s="74" t="s">
        <v>467</v>
      </c>
      <c r="C204" s="41" t="s">
        <v>468</v>
      </c>
      <c r="D204" s="41" t="s">
        <v>469</v>
      </c>
      <c r="E204" s="41" t="s">
        <v>461</v>
      </c>
      <c r="F204" s="41" t="s">
        <v>470</v>
      </c>
      <c r="G204" s="64">
        <v>1650</v>
      </c>
      <c r="H204" s="64">
        <v>1650</v>
      </c>
      <c r="I204" s="349"/>
      <c r="J204" s="349"/>
      <c r="K204" s="349"/>
      <c r="L204" s="349"/>
      <c r="M204" s="349"/>
      <c r="N204" s="349"/>
      <c r="O204" s="349"/>
      <c r="P204" s="349"/>
      <c r="Q204" s="349"/>
      <c r="R204" s="349"/>
      <c r="S204" s="349"/>
      <c r="T204" s="349"/>
      <c r="U204" s="349"/>
      <c r="V204" s="349"/>
      <c r="W204" s="349"/>
      <c r="X204" s="349">
        <v>1650</v>
      </c>
      <c r="Y204" s="349">
        <v>1650</v>
      </c>
      <c r="Z204" s="349"/>
      <c r="AA204" s="349"/>
      <c r="AB204" s="349"/>
      <c r="AC204" s="349"/>
      <c r="AD204" s="265"/>
      <c r="AE204" s="265"/>
      <c r="AF204" s="349"/>
      <c r="AG204" s="349"/>
      <c r="AH204" s="349">
        <v>343</v>
      </c>
      <c r="AI204" s="349">
        <v>343</v>
      </c>
      <c r="AJ204" s="349"/>
      <c r="AK204" s="349"/>
      <c r="AL204" s="349">
        <f t="shared" si="220"/>
        <v>232.41000000000008</v>
      </c>
      <c r="AM204" s="64">
        <v>1650</v>
      </c>
      <c r="AN204" s="350">
        <v>1417.59</v>
      </c>
      <c r="AO204" s="349"/>
      <c r="AP204" s="349"/>
      <c r="AQ204" s="349"/>
      <c r="AR204" s="349"/>
      <c r="AS204" s="64">
        <v>1650</v>
      </c>
      <c r="AT204" s="350">
        <v>1417.59</v>
      </c>
      <c r="AU204" s="349"/>
      <c r="AV204" s="349"/>
      <c r="AW204" s="351"/>
      <c r="AX204" s="119"/>
    </row>
    <row r="205" spans="1:55" ht="31.5" x14ac:dyDescent="0.25">
      <c r="A205" s="280">
        <v>6</v>
      </c>
      <c r="B205" s="74" t="s">
        <v>471</v>
      </c>
      <c r="C205" s="41" t="s">
        <v>450</v>
      </c>
      <c r="D205" s="41" t="s">
        <v>472</v>
      </c>
      <c r="E205" s="41" t="s">
        <v>473</v>
      </c>
      <c r="F205" s="41"/>
      <c r="G205" s="64">
        <v>13000</v>
      </c>
      <c r="H205" s="64">
        <v>13000</v>
      </c>
      <c r="I205" s="349"/>
      <c r="J205" s="349"/>
      <c r="K205" s="349"/>
      <c r="L205" s="349"/>
      <c r="M205" s="349"/>
      <c r="N205" s="349"/>
      <c r="O205" s="349"/>
      <c r="P205" s="349"/>
      <c r="Q205" s="349"/>
      <c r="R205" s="349"/>
      <c r="S205" s="349"/>
      <c r="T205" s="349"/>
      <c r="U205" s="349"/>
      <c r="V205" s="349"/>
      <c r="W205" s="349"/>
      <c r="X205" s="349">
        <v>13000</v>
      </c>
      <c r="Y205" s="349">
        <v>13000</v>
      </c>
      <c r="Z205" s="349"/>
      <c r="AA205" s="349"/>
      <c r="AB205" s="349"/>
      <c r="AC205" s="349"/>
      <c r="AD205" s="265"/>
      <c r="AE205" s="265"/>
      <c r="AF205" s="349"/>
      <c r="AG205" s="349"/>
      <c r="AH205" s="349"/>
      <c r="AI205" s="349"/>
      <c r="AJ205" s="349"/>
      <c r="AK205" s="349"/>
      <c r="AL205" s="349">
        <f t="shared" si="220"/>
        <v>50</v>
      </c>
      <c r="AM205" s="64">
        <v>13000</v>
      </c>
      <c r="AN205" s="350">
        <v>12950</v>
      </c>
      <c r="AO205" s="349"/>
      <c r="AP205" s="349"/>
      <c r="AQ205" s="349"/>
      <c r="AR205" s="349"/>
      <c r="AS205" s="64">
        <v>13000</v>
      </c>
      <c r="AT205" s="350">
        <v>12950</v>
      </c>
      <c r="AU205" s="349"/>
      <c r="AV205" s="349"/>
      <c r="AW205" s="10"/>
      <c r="AX205" s="119"/>
    </row>
    <row r="206" spans="1:55" ht="31.5" x14ac:dyDescent="0.25">
      <c r="A206" s="280">
        <v>7</v>
      </c>
      <c r="B206" s="74" t="s">
        <v>474</v>
      </c>
      <c r="C206" s="41" t="s">
        <v>475</v>
      </c>
      <c r="D206" s="41" t="s">
        <v>476</v>
      </c>
      <c r="E206" s="41" t="s">
        <v>461</v>
      </c>
      <c r="F206" s="137" t="s">
        <v>651</v>
      </c>
      <c r="G206" s="64">
        <v>10200</v>
      </c>
      <c r="H206" s="64">
        <v>10200</v>
      </c>
      <c r="I206" s="349"/>
      <c r="J206" s="349"/>
      <c r="K206" s="349"/>
      <c r="L206" s="349"/>
      <c r="M206" s="349"/>
      <c r="N206" s="349"/>
      <c r="O206" s="349"/>
      <c r="P206" s="349"/>
      <c r="Q206" s="349"/>
      <c r="R206" s="349"/>
      <c r="S206" s="349"/>
      <c r="T206" s="349"/>
      <c r="U206" s="349"/>
      <c r="V206" s="349"/>
      <c r="W206" s="349"/>
      <c r="X206" s="349">
        <v>10200</v>
      </c>
      <c r="Y206" s="349">
        <v>10200</v>
      </c>
      <c r="Z206" s="349"/>
      <c r="AA206" s="349"/>
      <c r="AB206" s="349"/>
      <c r="AC206" s="349"/>
      <c r="AD206" s="265"/>
      <c r="AE206" s="265"/>
      <c r="AF206" s="349"/>
      <c r="AG206" s="349"/>
      <c r="AH206" s="349"/>
      <c r="AI206" s="349"/>
      <c r="AJ206" s="349"/>
      <c r="AK206" s="349"/>
      <c r="AL206" s="349">
        <f t="shared" si="220"/>
        <v>40</v>
      </c>
      <c r="AM206" s="64">
        <v>10200</v>
      </c>
      <c r="AN206" s="64">
        <v>10160</v>
      </c>
      <c r="AO206" s="349"/>
      <c r="AP206" s="349"/>
      <c r="AQ206" s="349"/>
      <c r="AR206" s="349"/>
      <c r="AS206" s="64">
        <v>10200</v>
      </c>
      <c r="AT206" s="64">
        <v>10160</v>
      </c>
      <c r="AU206" s="349"/>
      <c r="AV206" s="349"/>
      <c r="AW206" s="10">
        <v>200</v>
      </c>
      <c r="AX206" s="119"/>
    </row>
    <row r="207" spans="1:55" ht="63" x14ac:dyDescent="0.25">
      <c r="A207" s="280">
        <v>8</v>
      </c>
      <c r="B207" s="281" t="s">
        <v>477</v>
      </c>
      <c r="C207" s="5" t="s">
        <v>478</v>
      </c>
      <c r="D207" s="41" t="s">
        <v>479</v>
      </c>
      <c r="E207" s="41" t="s">
        <v>65</v>
      </c>
      <c r="F207" s="137" t="s">
        <v>652</v>
      </c>
      <c r="G207" s="64">
        <v>11071</v>
      </c>
      <c r="H207" s="64">
        <v>11071</v>
      </c>
      <c r="I207" s="349"/>
      <c r="J207" s="349"/>
      <c r="K207" s="349"/>
      <c r="L207" s="349"/>
      <c r="M207" s="349"/>
      <c r="N207" s="349"/>
      <c r="O207" s="349"/>
      <c r="P207" s="349"/>
      <c r="Q207" s="349"/>
      <c r="R207" s="349"/>
      <c r="S207" s="349"/>
      <c r="T207" s="349"/>
      <c r="U207" s="349"/>
      <c r="V207" s="349"/>
      <c r="W207" s="349"/>
      <c r="X207" s="352">
        <v>11071</v>
      </c>
      <c r="Y207" s="352">
        <v>11071</v>
      </c>
      <c r="Z207" s="349"/>
      <c r="AA207" s="349"/>
      <c r="AB207" s="349"/>
      <c r="AC207" s="349"/>
      <c r="AD207" s="265"/>
      <c r="AE207" s="265"/>
      <c r="AF207" s="349"/>
      <c r="AG207" s="349"/>
      <c r="AH207" s="349"/>
      <c r="AI207" s="349"/>
      <c r="AJ207" s="349"/>
      <c r="AK207" s="349"/>
      <c r="AL207" s="349">
        <f>+Y207-AN207</f>
        <v>121</v>
      </c>
      <c r="AM207" s="64">
        <v>11000</v>
      </c>
      <c r="AN207" s="64">
        <v>10950</v>
      </c>
      <c r="AO207" s="349"/>
      <c r="AP207" s="349"/>
      <c r="AQ207" s="349"/>
      <c r="AR207" s="349"/>
      <c r="AS207" s="64">
        <v>11000</v>
      </c>
      <c r="AT207" s="64">
        <v>10950</v>
      </c>
      <c r="AU207" s="349"/>
      <c r="AV207" s="349"/>
      <c r="AW207" s="10">
        <v>200</v>
      </c>
      <c r="AX207" s="119"/>
    </row>
    <row r="208" spans="1:55" s="14" customFormat="1" ht="28.5" customHeight="1" x14ac:dyDescent="0.25">
      <c r="A208" s="276"/>
      <c r="B208" s="279" t="s">
        <v>480</v>
      </c>
      <c r="C208" s="57"/>
      <c r="D208" s="57"/>
      <c r="E208" s="57"/>
      <c r="F208" s="57"/>
      <c r="G208" s="38"/>
      <c r="H208" s="38"/>
      <c r="I208" s="38"/>
      <c r="J208" s="38"/>
      <c r="K208" s="38"/>
      <c r="L208" s="38"/>
      <c r="M208" s="38"/>
      <c r="N208" s="38"/>
      <c r="O208" s="38"/>
      <c r="P208" s="38"/>
      <c r="Q208" s="38"/>
      <c r="R208" s="38"/>
      <c r="S208" s="38"/>
      <c r="T208" s="38"/>
      <c r="U208" s="38"/>
      <c r="V208" s="38"/>
      <c r="W208" s="38"/>
      <c r="X208" s="38"/>
      <c r="Y208" s="38"/>
      <c r="Z208" s="38"/>
      <c r="AA208" s="38"/>
      <c r="AB208" s="38">
        <f t="shared" ref="AB208:AJ208" si="221">SUM(AB209:AB210)</f>
        <v>0</v>
      </c>
      <c r="AC208" s="38">
        <f t="shared" si="221"/>
        <v>0</v>
      </c>
      <c r="AD208" s="38">
        <f t="shared" si="221"/>
        <v>0</v>
      </c>
      <c r="AE208" s="38">
        <f t="shared" si="221"/>
        <v>0</v>
      </c>
      <c r="AF208" s="38">
        <f t="shared" si="221"/>
        <v>0</v>
      </c>
      <c r="AG208" s="38">
        <f t="shared" si="221"/>
        <v>0</v>
      </c>
      <c r="AH208" s="38">
        <f t="shared" si="221"/>
        <v>0</v>
      </c>
      <c r="AI208" s="38">
        <f t="shared" si="221"/>
        <v>0</v>
      </c>
      <c r="AJ208" s="38">
        <f t="shared" si="221"/>
        <v>0</v>
      </c>
      <c r="AK208" s="38">
        <f>+AN208</f>
        <v>6355</v>
      </c>
      <c r="AL208" s="38"/>
      <c r="AM208" s="38">
        <v>9505</v>
      </c>
      <c r="AN208" s="38">
        <f>SUM(AN209:AN210)</f>
        <v>6355</v>
      </c>
      <c r="AO208" s="38"/>
      <c r="AP208" s="38"/>
      <c r="AQ208" s="38"/>
      <c r="AR208" s="38"/>
      <c r="AS208" s="38">
        <v>9505</v>
      </c>
      <c r="AT208" s="38">
        <f>SUM(AT209:AT210)</f>
        <v>6355</v>
      </c>
      <c r="AU208" s="278"/>
      <c r="AV208" s="278"/>
      <c r="AW208" s="89"/>
      <c r="BB208" s="282"/>
      <c r="BC208" s="282"/>
    </row>
    <row r="209" spans="1:55" s="14" customFormat="1" ht="47.25" x14ac:dyDescent="0.25">
      <c r="A209" s="276">
        <v>1</v>
      </c>
      <c r="B209" s="281" t="s">
        <v>481</v>
      </c>
      <c r="C209" s="281" t="s">
        <v>87</v>
      </c>
      <c r="D209" s="281" t="s">
        <v>482</v>
      </c>
      <c r="E209" s="281" t="s">
        <v>483</v>
      </c>
      <c r="F209" s="353" t="s">
        <v>653</v>
      </c>
      <c r="G209" s="354">
        <v>6560</v>
      </c>
      <c r="H209" s="355">
        <v>5200</v>
      </c>
      <c r="I209" s="281"/>
      <c r="J209" s="281"/>
      <c r="K209" s="281"/>
      <c r="L209" s="281"/>
      <c r="M209" s="281"/>
      <c r="N209" s="281"/>
      <c r="O209" s="281"/>
      <c r="P209" s="281"/>
      <c r="Q209" s="281"/>
      <c r="R209" s="281"/>
      <c r="S209" s="281"/>
      <c r="T209" s="281"/>
      <c r="U209" s="281"/>
      <c r="V209" s="281"/>
      <c r="W209" s="281"/>
      <c r="X209" s="281"/>
      <c r="Y209" s="281"/>
      <c r="Z209" s="281"/>
      <c r="AA209" s="281"/>
      <c r="AB209" s="281"/>
      <c r="AC209" s="281"/>
      <c r="AD209" s="281"/>
      <c r="AE209" s="281"/>
      <c r="AF209" s="281"/>
      <c r="AG209" s="281"/>
      <c r="AH209" s="281"/>
      <c r="AI209" s="281"/>
      <c r="AJ209" s="281"/>
      <c r="AK209" s="281">
        <f>+AN209</f>
        <v>5200</v>
      </c>
      <c r="AL209" s="281"/>
      <c r="AM209" s="64">
        <v>6700</v>
      </c>
      <c r="AN209" s="356">
        <v>5200</v>
      </c>
      <c r="AO209" s="64"/>
      <c r="AP209" s="64"/>
      <c r="AQ209" s="64"/>
      <c r="AR209" s="64"/>
      <c r="AS209" s="64">
        <v>6700</v>
      </c>
      <c r="AT209" s="356">
        <v>5200</v>
      </c>
      <c r="AU209" s="278"/>
      <c r="AV209" s="278"/>
      <c r="AW209" s="89"/>
      <c r="BB209" s="282"/>
      <c r="BC209" s="282"/>
    </row>
    <row r="210" spans="1:55" s="14" customFormat="1" ht="47.25" x14ac:dyDescent="0.25">
      <c r="A210" s="276">
        <v>2</v>
      </c>
      <c r="B210" s="357" t="s">
        <v>484</v>
      </c>
      <c r="C210" s="357" t="s">
        <v>485</v>
      </c>
      <c r="D210" s="357" t="s">
        <v>486</v>
      </c>
      <c r="E210" s="357" t="s">
        <v>483</v>
      </c>
      <c r="F210" s="353" t="s">
        <v>654</v>
      </c>
      <c r="G210" s="354">
        <v>2825</v>
      </c>
      <c r="H210" s="355">
        <v>1155</v>
      </c>
      <c r="I210" s="357"/>
      <c r="J210" s="357"/>
      <c r="K210" s="357"/>
      <c r="L210" s="357"/>
      <c r="M210" s="357"/>
      <c r="N210" s="357"/>
      <c r="O210" s="357"/>
      <c r="P210" s="357"/>
      <c r="Q210" s="357"/>
      <c r="R210" s="357"/>
      <c r="S210" s="357"/>
      <c r="T210" s="357"/>
      <c r="U210" s="357"/>
      <c r="V210" s="357"/>
      <c r="W210" s="357"/>
      <c r="X210" s="357"/>
      <c r="Y210" s="357"/>
      <c r="Z210" s="357"/>
      <c r="AA210" s="357"/>
      <c r="AB210" s="357"/>
      <c r="AC210" s="357"/>
      <c r="AD210" s="357"/>
      <c r="AE210" s="357"/>
      <c r="AF210" s="357"/>
      <c r="AG210" s="357"/>
      <c r="AH210" s="357"/>
      <c r="AI210" s="357"/>
      <c r="AJ210" s="357"/>
      <c r="AK210" s="357">
        <f>+AN210</f>
        <v>1155</v>
      </c>
      <c r="AL210" s="357"/>
      <c r="AM210" s="64">
        <v>2805</v>
      </c>
      <c r="AN210" s="64">
        <v>1155</v>
      </c>
      <c r="AO210" s="64"/>
      <c r="AP210" s="64"/>
      <c r="AQ210" s="64"/>
      <c r="AR210" s="64"/>
      <c r="AS210" s="64">
        <v>2805</v>
      </c>
      <c r="AT210" s="64">
        <v>1155</v>
      </c>
      <c r="AU210" s="358"/>
      <c r="AV210" s="358"/>
      <c r="AW210" s="89"/>
      <c r="BB210" s="284"/>
      <c r="BC210" s="284"/>
    </row>
    <row r="211" spans="1:55" s="144" customFormat="1" ht="30" customHeight="1" x14ac:dyDescent="0.25">
      <c r="A211" s="276">
        <v>2</v>
      </c>
      <c r="B211" s="277" t="s">
        <v>487</v>
      </c>
      <c r="C211" s="142"/>
      <c r="D211" s="142"/>
      <c r="E211" s="142"/>
      <c r="F211" s="142"/>
      <c r="G211" s="38">
        <f t="shared" ref="G211:H211" si="222">G212+G221</f>
        <v>95694</v>
      </c>
      <c r="H211" s="38">
        <f t="shared" si="222"/>
        <v>92073.5</v>
      </c>
      <c r="I211" s="38">
        <f t="shared" ref="I211:AL211" si="223">+I214+I221+I233</f>
        <v>0</v>
      </c>
      <c r="J211" s="38">
        <f t="shared" si="223"/>
        <v>0</v>
      </c>
      <c r="K211" s="38">
        <f t="shared" si="223"/>
        <v>0</v>
      </c>
      <c r="L211" s="38">
        <f t="shared" si="223"/>
        <v>0</v>
      </c>
      <c r="M211" s="38">
        <f t="shared" si="223"/>
        <v>0</v>
      </c>
      <c r="N211" s="38">
        <f t="shared" si="223"/>
        <v>0</v>
      </c>
      <c r="O211" s="38">
        <f t="shared" si="223"/>
        <v>0</v>
      </c>
      <c r="P211" s="38">
        <f t="shared" si="223"/>
        <v>0</v>
      </c>
      <c r="Q211" s="38">
        <f t="shared" si="223"/>
        <v>0</v>
      </c>
      <c r="R211" s="38">
        <f t="shared" si="223"/>
        <v>0</v>
      </c>
      <c r="S211" s="38">
        <f t="shared" si="223"/>
        <v>0</v>
      </c>
      <c r="T211" s="38">
        <f t="shared" si="223"/>
        <v>0</v>
      </c>
      <c r="U211" s="38">
        <f t="shared" si="223"/>
        <v>0</v>
      </c>
      <c r="V211" s="38">
        <f t="shared" si="223"/>
        <v>0</v>
      </c>
      <c r="W211" s="38">
        <f t="shared" si="223"/>
        <v>0</v>
      </c>
      <c r="X211" s="38">
        <f t="shared" si="223"/>
        <v>88386</v>
      </c>
      <c r="Y211" s="38">
        <f t="shared" si="223"/>
        <v>83886</v>
      </c>
      <c r="Z211" s="38">
        <f t="shared" si="223"/>
        <v>0</v>
      </c>
      <c r="AA211" s="38">
        <f t="shared" si="223"/>
        <v>0</v>
      </c>
      <c r="AB211" s="38">
        <f t="shared" si="223"/>
        <v>0</v>
      </c>
      <c r="AC211" s="38">
        <f t="shared" si="223"/>
        <v>0</v>
      </c>
      <c r="AD211" s="38">
        <f t="shared" si="223"/>
        <v>14500</v>
      </c>
      <c r="AE211" s="38">
        <f t="shared" si="223"/>
        <v>14500</v>
      </c>
      <c r="AF211" s="38">
        <f t="shared" si="223"/>
        <v>0</v>
      </c>
      <c r="AG211" s="38">
        <f t="shared" si="223"/>
        <v>0</v>
      </c>
      <c r="AH211" s="38">
        <f t="shared" si="223"/>
        <v>13683.800000000001</v>
      </c>
      <c r="AI211" s="38">
        <f t="shared" si="223"/>
        <v>13683.800000000001</v>
      </c>
      <c r="AJ211" s="38">
        <f t="shared" si="223"/>
        <v>0</v>
      </c>
      <c r="AK211" s="38">
        <f t="shared" si="223"/>
        <v>11500</v>
      </c>
      <c r="AL211" s="38">
        <f t="shared" si="223"/>
        <v>7236.6000000000013</v>
      </c>
      <c r="AM211" s="38">
        <f t="shared" ref="AM211:AN211" si="224">AM212+AM221</f>
        <v>90949.4</v>
      </c>
      <c r="AN211" s="38">
        <f t="shared" si="224"/>
        <v>87449.9</v>
      </c>
      <c r="AO211" s="38"/>
      <c r="AP211" s="38"/>
      <c r="AQ211" s="38"/>
      <c r="AR211" s="38"/>
      <c r="AS211" s="38">
        <f>AS212+AS221</f>
        <v>90949.4</v>
      </c>
      <c r="AT211" s="38">
        <f>AT212+AT221</f>
        <v>87449.9</v>
      </c>
      <c r="AU211" s="278"/>
      <c r="AV211" s="278"/>
      <c r="AW211" s="89"/>
    </row>
    <row r="212" spans="1:55" s="144" customFormat="1" ht="36.75" customHeight="1" x14ac:dyDescent="0.25">
      <c r="A212" s="276">
        <v>1</v>
      </c>
      <c r="B212" s="277" t="s">
        <v>655</v>
      </c>
      <c r="C212" s="142"/>
      <c r="D212" s="142"/>
      <c r="E212" s="142"/>
      <c r="F212" s="142"/>
      <c r="G212" s="38">
        <f t="shared" ref="G212:H213" si="225">G213</f>
        <v>30864</v>
      </c>
      <c r="H212" s="38">
        <f t="shared" si="225"/>
        <v>30864</v>
      </c>
      <c r="I212" s="278"/>
      <c r="J212" s="278"/>
      <c r="K212" s="278"/>
      <c r="L212" s="278"/>
      <c r="M212" s="278"/>
      <c r="N212" s="278"/>
      <c r="O212" s="278"/>
      <c r="P212" s="278"/>
      <c r="Q212" s="278"/>
      <c r="R212" s="278"/>
      <c r="S212" s="278"/>
      <c r="T212" s="278"/>
      <c r="U212" s="278"/>
      <c r="V212" s="278"/>
      <c r="W212" s="278"/>
      <c r="X212" s="278"/>
      <c r="Y212" s="278"/>
      <c r="Z212" s="278"/>
      <c r="AA212" s="278"/>
      <c r="AB212" s="278"/>
      <c r="AC212" s="278"/>
      <c r="AD212" s="278"/>
      <c r="AE212" s="278"/>
      <c r="AF212" s="278"/>
      <c r="AG212" s="278"/>
      <c r="AH212" s="278"/>
      <c r="AI212" s="278"/>
      <c r="AJ212" s="278"/>
      <c r="AK212" s="278"/>
      <c r="AL212" s="278"/>
      <c r="AM212" s="38">
        <f>AM213</f>
        <v>28797.399999999998</v>
      </c>
      <c r="AN212" s="38">
        <f>AN213</f>
        <v>28784.399999999998</v>
      </c>
      <c r="AO212" s="278"/>
      <c r="AP212" s="278"/>
      <c r="AQ212" s="278"/>
      <c r="AR212" s="278"/>
      <c r="AS212" s="38">
        <f>AS213</f>
        <v>28797.399999999998</v>
      </c>
      <c r="AT212" s="38">
        <f>AT213</f>
        <v>28784.399999999998</v>
      </c>
      <c r="AU212" s="278"/>
      <c r="AV212" s="278"/>
      <c r="AW212" s="89"/>
    </row>
    <row r="213" spans="1:55" s="144" customFormat="1" ht="63" x14ac:dyDescent="0.25">
      <c r="A213" s="345"/>
      <c r="B213" s="279" t="s">
        <v>448</v>
      </c>
      <c r="C213" s="142"/>
      <c r="D213" s="142"/>
      <c r="E213" s="142"/>
      <c r="F213" s="142"/>
      <c r="G213" s="101">
        <f t="shared" si="225"/>
        <v>30864</v>
      </c>
      <c r="H213" s="101">
        <f t="shared" si="225"/>
        <v>30864</v>
      </c>
      <c r="I213" s="347"/>
      <c r="J213" s="347"/>
      <c r="K213" s="347"/>
      <c r="L213" s="347"/>
      <c r="M213" s="347"/>
      <c r="N213" s="347"/>
      <c r="O213" s="347"/>
      <c r="P213" s="347"/>
      <c r="Q213" s="347"/>
      <c r="R213" s="347"/>
      <c r="S213" s="347"/>
      <c r="T213" s="347"/>
      <c r="U213" s="347"/>
      <c r="V213" s="347"/>
      <c r="W213" s="347"/>
      <c r="X213" s="347"/>
      <c r="Y213" s="347"/>
      <c r="Z213" s="347"/>
      <c r="AA213" s="347"/>
      <c r="AB213" s="347"/>
      <c r="AC213" s="347"/>
      <c r="AD213" s="347"/>
      <c r="AE213" s="347"/>
      <c r="AF213" s="347"/>
      <c r="AG213" s="347"/>
      <c r="AH213" s="347"/>
      <c r="AI213" s="347"/>
      <c r="AJ213" s="347"/>
      <c r="AK213" s="347"/>
      <c r="AL213" s="347"/>
      <c r="AM213" s="101">
        <f>AM214</f>
        <v>28797.399999999998</v>
      </c>
      <c r="AN213" s="101">
        <f>AN214</f>
        <v>28784.399999999998</v>
      </c>
      <c r="AO213" s="278"/>
      <c r="AP213" s="347"/>
      <c r="AQ213" s="347"/>
      <c r="AR213" s="347"/>
      <c r="AS213" s="101">
        <f>AS214</f>
        <v>28797.399999999998</v>
      </c>
      <c r="AT213" s="101">
        <f>AT214</f>
        <v>28784.399999999998</v>
      </c>
      <c r="AU213" s="347"/>
      <c r="AV213" s="347"/>
      <c r="AW213" s="359"/>
      <c r="BB213" s="278"/>
    </row>
    <row r="214" spans="1:55" s="144" customFormat="1" ht="36.75" customHeight="1" x14ac:dyDescent="0.25">
      <c r="A214" s="345"/>
      <c r="B214" s="279" t="s">
        <v>488</v>
      </c>
      <c r="C214" s="142"/>
      <c r="D214" s="142"/>
      <c r="E214" s="142"/>
      <c r="F214" s="142"/>
      <c r="G214" s="101">
        <f t="shared" ref="G214:H214" si="226">SUM(G215:G220)</f>
        <v>30864</v>
      </c>
      <c r="H214" s="101">
        <f t="shared" si="226"/>
        <v>30864</v>
      </c>
      <c r="I214" s="101">
        <f t="shared" ref="I214:AL214" si="227">SUM(I215:I220)</f>
        <v>0</v>
      </c>
      <c r="J214" s="101">
        <f t="shared" si="227"/>
        <v>0</v>
      </c>
      <c r="K214" s="101">
        <f t="shared" si="227"/>
        <v>0</v>
      </c>
      <c r="L214" s="101">
        <f t="shared" si="227"/>
        <v>0</v>
      </c>
      <c r="M214" s="101">
        <f t="shared" si="227"/>
        <v>0</v>
      </c>
      <c r="N214" s="101">
        <f t="shared" si="227"/>
        <v>0</v>
      </c>
      <c r="O214" s="101">
        <f t="shared" si="227"/>
        <v>0</v>
      </c>
      <c r="P214" s="101">
        <f t="shared" si="227"/>
        <v>0</v>
      </c>
      <c r="Q214" s="101">
        <f t="shared" si="227"/>
        <v>0</v>
      </c>
      <c r="R214" s="101">
        <f t="shared" si="227"/>
        <v>0</v>
      </c>
      <c r="S214" s="101">
        <f t="shared" si="227"/>
        <v>0</v>
      </c>
      <c r="T214" s="101">
        <f t="shared" si="227"/>
        <v>0</v>
      </c>
      <c r="U214" s="101">
        <f t="shared" si="227"/>
        <v>0</v>
      </c>
      <c r="V214" s="101">
        <f t="shared" si="227"/>
        <v>0</v>
      </c>
      <c r="W214" s="101">
        <f t="shared" si="227"/>
        <v>0</v>
      </c>
      <c r="X214" s="101">
        <f t="shared" si="227"/>
        <v>30864</v>
      </c>
      <c r="Y214" s="101">
        <f t="shared" si="227"/>
        <v>30864</v>
      </c>
      <c r="Z214" s="101">
        <f t="shared" si="227"/>
        <v>0</v>
      </c>
      <c r="AA214" s="101">
        <f t="shared" si="227"/>
        <v>0</v>
      </c>
      <c r="AB214" s="101">
        <f t="shared" si="227"/>
        <v>0</v>
      </c>
      <c r="AC214" s="101">
        <f t="shared" si="227"/>
        <v>0</v>
      </c>
      <c r="AD214" s="101">
        <f t="shared" si="227"/>
        <v>14500</v>
      </c>
      <c r="AE214" s="101">
        <f t="shared" si="227"/>
        <v>14500</v>
      </c>
      <c r="AF214" s="101">
        <f t="shared" si="227"/>
        <v>0</v>
      </c>
      <c r="AG214" s="101">
        <f t="shared" si="227"/>
        <v>0</v>
      </c>
      <c r="AH214" s="101">
        <f t="shared" si="227"/>
        <v>13214.6</v>
      </c>
      <c r="AI214" s="101">
        <f t="shared" si="227"/>
        <v>13214.6</v>
      </c>
      <c r="AJ214" s="101">
        <f t="shared" si="227"/>
        <v>0</v>
      </c>
      <c r="AK214" s="101">
        <f t="shared" si="227"/>
        <v>0</v>
      </c>
      <c r="AL214" s="101">
        <f t="shared" si="227"/>
        <v>2066.6000000000013</v>
      </c>
      <c r="AM214" s="101">
        <f>SUM(AM215:AM220)</f>
        <v>28797.399999999998</v>
      </c>
      <c r="AN214" s="101">
        <f>SUM(AN215:AN220)</f>
        <v>28784.399999999998</v>
      </c>
      <c r="AO214" s="101"/>
      <c r="AP214" s="101"/>
      <c r="AQ214" s="101"/>
      <c r="AR214" s="101"/>
      <c r="AS214" s="101">
        <v>28797.399999999998</v>
      </c>
      <c r="AT214" s="101">
        <f>SUM(AT215:AT220)</f>
        <v>28784.399999999998</v>
      </c>
      <c r="AU214" s="347"/>
      <c r="AV214" s="347"/>
      <c r="AW214" s="348"/>
      <c r="BB214" s="283"/>
    </row>
    <row r="215" spans="1:55" ht="45" customHeight="1" x14ac:dyDescent="0.25">
      <c r="A215" s="280">
        <v>1</v>
      </c>
      <c r="B215" s="74" t="s">
        <v>489</v>
      </c>
      <c r="C215" s="41" t="s">
        <v>490</v>
      </c>
      <c r="D215" s="41" t="s">
        <v>491</v>
      </c>
      <c r="E215" s="41" t="s">
        <v>446</v>
      </c>
      <c r="F215" s="41" t="s">
        <v>492</v>
      </c>
      <c r="G215" s="64">
        <v>2900</v>
      </c>
      <c r="H215" s="64">
        <v>2900</v>
      </c>
      <c r="I215" s="349"/>
      <c r="J215" s="349"/>
      <c r="K215" s="349"/>
      <c r="L215" s="349"/>
      <c r="M215" s="349"/>
      <c r="N215" s="349"/>
      <c r="O215" s="349"/>
      <c r="P215" s="349"/>
      <c r="Q215" s="349"/>
      <c r="R215" s="349"/>
      <c r="S215" s="349"/>
      <c r="T215" s="349"/>
      <c r="U215" s="349"/>
      <c r="V215" s="349"/>
      <c r="W215" s="349"/>
      <c r="X215" s="349">
        <v>2900</v>
      </c>
      <c r="Y215" s="349">
        <v>2900</v>
      </c>
      <c r="Z215" s="349"/>
      <c r="AA215" s="349"/>
      <c r="AB215" s="349"/>
      <c r="AC215" s="349"/>
      <c r="AD215" s="349">
        <v>1400</v>
      </c>
      <c r="AE215" s="349">
        <v>1400</v>
      </c>
      <c r="AF215" s="349"/>
      <c r="AG215" s="349"/>
      <c r="AH215" s="349">
        <v>1210</v>
      </c>
      <c r="AI215" s="349">
        <v>1210</v>
      </c>
      <c r="AJ215" s="349"/>
      <c r="AK215" s="349"/>
      <c r="AL215" s="349">
        <f t="shared" ref="AL215:AL220" si="228">+X215-AM215</f>
        <v>235.30000000000018</v>
      </c>
      <c r="AM215" s="64">
        <v>2664.7</v>
      </c>
      <c r="AN215" s="64">
        <v>2664.7</v>
      </c>
      <c r="AO215" s="278"/>
      <c r="AP215" s="349"/>
      <c r="AQ215" s="349"/>
      <c r="AR215" s="349"/>
      <c r="AS215" s="64">
        <v>2664.7</v>
      </c>
      <c r="AT215" s="64">
        <v>2664.7</v>
      </c>
      <c r="AU215" s="349"/>
      <c r="AV215" s="349"/>
      <c r="AW215" s="10"/>
      <c r="AX215" s="119"/>
      <c r="BB215" s="285"/>
      <c r="BC215" s="285"/>
    </row>
    <row r="216" spans="1:55" ht="51" customHeight="1" x14ac:dyDescent="0.25">
      <c r="A216" s="280">
        <v>2</v>
      </c>
      <c r="B216" s="74" t="s">
        <v>493</v>
      </c>
      <c r="C216" s="41" t="s">
        <v>494</v>
      </c>
      <c r="D216" s="41" t="s">
        <v>495</v>
      </c>
      <c r="E216" s="41" t="s">
        <v>446</v>
      </c>
      <c r="F216" s="41" t="s">
        <v>496</v>
      </c>
      <c r="G216" s="64">
        <v>3633</v>
      </c>
      <c r="H216" s="64">
        <v>3633</v>
      </c>
      <c r="I216" s="349"/>
      <c r="J216" s="349"/>
      <c r="K216" s="349"/>
      <c r="L216" s="349"/>
      <c r="M216" s="349"/>
      <c r="N216" s="349"/>
      <c r="O216" s="349"/>
      <c r="P216" s="349"/>
      <c r="Q216" s="349"/>
      <c r="R216" s="349"/>
      <c r="S216" s="349"/>
      <c r="T216" s="349"/>
      <c r="U216" s="349"/>
      <c r="V216" s="349"/>
      <c r="W216" s="349"/>
      <c r="X216" s="349">
        <v>3633</v>
      </c>
      <c r="Y216" s="349">
        <v>3633</v>
      </c>
      <c r="Z216" s="349"/>
      <c r="AA216" s="349"/>
      <c r="AB216" s="349"/>
      <c r="AC216" s="349"/>
      <c r="AD216" s="349">
        <v>1700</v>
      </c>
      <c r="AE216" s="349">
        <v>1700</v>
      </c>
      <c r="AF216" s="349"/>
      <c r="AG216" s="349"/>
      <c r="AH216" s="349">
        <v>1569.7000000000003</v>
      </c>
      <c r="AI216" s="349">
        <v>1569.7000000000003</v>
      </c>
      <c r="AJ216" s="349"/>
      <c r="AK216" s="349"/>
      <c r="AL216" s="349">
        <f t="shared" si="228"/>
        <v>340.5</v>
      </c>
      <c r="AM216" s="64">
        <v>3292.5</v>
      </c>
      <c r="AN216" s="64">
        <v>3292.5</v>
      </c>
      <c r="AO216" s="278"/>
      <c r="AP216" s="349"/>
      <c r="AQ216" s="349"/>
      <c r="AR216" s="349"/>
      <c r="AS216" s="64">
        <v>3292.5</v>
      </c>
      <c r="AT216" s="64">
        <v>3292.5</v>
      </c>
      <c r="AU216" s="349"/>
      <c r="AV216" s="349"/>
      <c r="AW216" s="10"/>
      <c r="AX216" s="119"/>
      <c r="BB216" s="285"/>
      <c r="BC216" s="285"/>
    </row>
    <row r="217" spans="1:55" ht="41.25" customHeight="1" x14ac:dyDescent="0.25">
      <c r="A217" s="280">
        <v>3</v>
      </c>
      <c r="B217" s="74" t="s">
        <v>497</v>
      </c>
      <c r="C217" s="41" t="s">
        <v>498</v>
      </c>
      <c r="D217" s="41" t="s">
        <v>499</v>
      </c>
      <c r="E217" s="41" t="s">
        <v>446</v>
      </c>
      <c r="F217" s="41" t="s">
        <v>500</v>
      </c>
      <c r="G217" s="64">
        <v>6283</v>
      </c>
      <c r="H217" s="64">
        <v>6283</v>
      </c>
      <c r="I217" s="349"/>
      <c r="J217" s="349"/>
      <c r="K217" s="349"/>
      <c r="L217" s="349"/>
      <c r="M217" s="349"/>
      <c r="N217" s="349"/>
      <c r="O217" s="349"/>
      <c r="P217" s="349"/>
      <c r="Q217" s="349"/>
      <c r="R217" s="349"/>
      <c r="S217" s="349"/>
      <c r="T217" s="349"/>
      <c r="U217" s="349"/>
      <c r="V217" s="349"/>
      <c r="W217" s="349"/>
      <c r="X217" s="349">
        <v>6283</v>
      </c>
      <c r="Y217" s="349">
        <v>6283</v>
      </c>
      <c r="Z217" s="349"/>
      <c r="AA217" s="349"/>
      <c r="AB217" s="349"/>
      <c r="AC217" s="349"/>
      <c r="AD217" s="349">
        <v>2900</v>
      </c>
      <c r="AE217" s="349">
        <v>2900</v>
      </c>
      <c r="AF217" s="349"/>
      <c r="AG217" s="349"/>
      <c r="AH217" s="349">
        <v>2754.7</v>
      </c>
      <c r="AI217" s="349">
        <v>2754.7</v>
      </c>
      <c r="AJ217" s="349"/>
      <c r="AK217" s="349"/>
      <c r="AL217" s="349">
        <f t="shared" si="228"/>
        <v>451.40000000000055</v>
      </c>
      <c r="AM217" s="64">
        <v>5831.5999999999995</v>
      </c>
      <c r="AN217" s="64">
        <v>5831.5999999999995</v>
      </c>
      <c r="AO217" s="278"/>
      <c r="AP217" s="349"/>
      <c r="AQ217" s="349"/>
      <c r="AR217" s="349"/>
      <c r="AS217" s="64">
        <v>5831.5999999999995</v>
      </c>
      <c r="AT217" s="64">
        <v>5831.5999999999995</v>
      </c>
      <c r="AU217" s="349"/>
      <c r="AV217" s="349"/>
      <c r="AW217" s="10"/>
      <c r="AX217" s="119"/>
      <c r="BB217" s="285"/>
      <c r="BC217" s="285"/>
    </row>
    <row r="218" spans="1:55" ht="54" customHeight="1" x14ac:dyDescent="0.25">
      <c r="A218" s="280">
        <v>4</v>
      </c>
      <c r="B218" s="74" t="s">
        <v>501</v>
      </c>
      <c r="C218" s="41" t="s">
        <v>494</v>
      </c>
      <c r="D218" s="41" t="s">
        <v>45</v>
      </c>
      <c r="E218" s="41" t="s">
        <v>446</v>
      </c>
      <c r="F218" s="41" t="s">
        <v>502</v>
      </c>
      <c r="G218" s="64">
        <v>5277</v>
      </c>
      <c r="H218" s="64">
        <v>5277</v>
      </c>
      <c r="I218" s="349"/>
      <c r="J218" s="349"/>
      <c r="K218" s="349"/>
      <c r="L218" s="349"/>
      <c r="M218" s="349"/>
      <c r="N218" s="349"/>
      <c r="O218" s="349"/>
      <c r="P218" s="349"/>
      <c r="Q218" s="349"/>
      <c r="R218" s="349"/>
      <c r="S218" s="349"/>
      <c r="T218" s="349"/>
      <c r="U218" s="349"/>
      <c r="V218" s="349"/>
      <c r="W218" s="349"/>
      <c r="X218" s="349">
        <v>5277</v>
      </c>
      <c r="Y218" s="349">
        <v>5277</v>
      </c>
      <c r="Z218" s="349"/>
      <c r="AA218" s="349"/>
      <c r="AB218" s="349"/>
      <c r="AC218" s="349"/>
      <c r="AD218" s="349">
        <v>2500</v>
      </c>
      <c r="AE218" s="349">
        <v>2500</v>
      </c>
      <c r="AF218" s="349"/>
      <c r="AG218" s="349"/>
      <c r="AH218" s="349">
        <v>2249.3000000000002</v>
      </c>
      <c r="AI218" s="349">
        <v>2249.3000000000002</v>
      </c>
      <c r="AJ218" s="349"/>
      <c r="AK218" s="349"/>
      <c r="AL218" s="349">
        <f t="shared" si="228"/>
        <v>79.5</v>
      </c>
      <c r="AM218" s="64">
        <v>5197.5</v>
      </c>
      <c r="AN218" s="64">
        <v>5197.5</v>
      </c>
      <c r="AO218" s="278"/>
      <c r="AP218" s="349"/>
      <c r="AQ218" s="349"/>
      <c r="AR218" s="349"/>
      <c r="AS218" s="64">
        <v>5197.5</v>
      </c>
      <c r="AT218" s="64">
        <v>5197.5</v>
      </c>
      <c r="AU218" s="349"/>
      <c r="AV218" s="349"/>
      <c r="AW218" s="10"/>
      <c r="AX218" s="119"/>
      <c r="BB218" s="285"/>
      <c r="BC218" s="285"/>
    </row>
    <row r="219" spans="1:55" ht="42.75" customHeight="1" x14ac:dyDescent="0.25">
      <c r="A219" s="280">
        <v>5</v>
      </c>
      <c r="B219" s="74" t="s">
        <v>503</v>
      </c>
      <c r="C219" s="41" t="s">
        <v>498</v>
      </c>
      <c r="D219" s="41" t="s">
        <v>479</v>
      </c>
      <c r="E219" s="41" t="s">
        <v>446</v>
      </c>
      <c r="F219" s="41" t="s">
        <v>504</v>
      </c>
      <c r="G219" s="64">
        <v>6186</v>
      </c>
      <c r="H219" s="64">
        <v>6186</v>
      </c>
      <c r="I219" s="349"/>
      <c r="J219" s="349"/>
      <c r="K219" s="349"/>
      <c r="L219" s="349"/>
      <c r="M219" s="349"/>
      <c r="N219" s="349"/>
      <c r="O219" s="349"/>
      <c r="P219" s="349"/>
      <c r="Q219" s="349"/>
      <c r="R219" s="349"/>
      <c r="S219" s="349"/>
      <c r="T219" s="349"/>
      <c r="U219" s="349"/>
      <c r="V219" s="349"/>
      <c r="W219" s="349"/>
      <c r="X219" s="349">
        <v>6186</v>
      </c>
      <c r="Y219" s="349">
        <v>6186</v>
      </c>
      <c r="Z219" s="349"/>
      <c r="AA219" s="349"/>
      <c r="AB219" s="349"/>
      <c r="AC219" s="349"/>
      <c r="AD219" s="349">
        <v>2900</v>
      </c>
      <c r="AE219" s="349">
        <v>2900</v>
      </c>
      <c r="AF219" s="349"/>
      <c r="AG219" s="349"/>
      <c r="AH219" s="349">
        <v>2667.4000000000005</v>
      </c>
      <c r="AI219" s="349">
        <v>2667.4000000000005</v>
      </c>
      <c r="AJ219" s="349"/>
      <c r="AK219" s="349"/>
      <c r="AL219" s="349">
        <f t="shared" si="228"/>
        <v>337.60000000000036</v>
      </c>
      <c r="AM219" s="64">
        <v>5848.4</v>
      </c>
      <c r="AN219" s="64">
        <v>5835.4</v>
      </c>
      <c r="AO219" s="278"/>
      <c r="AP219" s="349"/>
      <c r="AQ219" s="349"/>
      <c r="AR219" s="349"/>
      <c r="AS219" s="64">
        <v>5848.4</v>
      </c>
      <c r="AT219" s="64">
        <v>5835.4</v>
      </c>
      <c r="AU219" s="349"/>
      <c r="AV219" s="349"/>
      <c r="AW219" s="10"/>
      <c r="AX219" s="119"/>
      <c r="BB219" s="285"/>
      <c r="BC219" s="285"/>
    </row>
    <row r="220" spans="1:55" ht="42.75" customHeight="1" x14ac:dyDescent="0.25">
      <c r="A220" s="280">
        <v>6</v>
      </c>
      <c r="B220" s="74" t="s">
        <v>505</v>
      </c>
      <c r="C220" s="41" t="s">
        <v>506</v>
      </c>
      <c r="D220" s="41" t="s">
        <v>507</v>
      </c>
      <c r="E220" s="41" t="s">
        <v>446</v>
      </c>
      <c r="F220" s="41" t="s">
        <v>508</v>
      </c>
      <c r="G220" s="64">
        <v>6585</v>
      </c>
      <c r="H220" s="64">
        <v>6585</v>
      </c>
      <c r="I220" s="349"/>
      <c r="J220" s="349"/>
      <c r="K220" s="349"/>
      <c r="L220" s="349"/>
      <c r="M220" s="349"/>
      <c r="N220" s="349"/>
      <c r="O220" s="349"/>
      <c r="P220" s="349"/>
      <c r="Q220" s="349"/>
      <c r="R220" s="349"/>
      <c r="S220" s="349"/>
      <c r="T220" s="349"/>
      <c r="U220" s="349"/>
      <c r="V220" s="349"/>
      <c r="W220" s="349"/>
      <c r="X220" s="349">
        <v>6585</v>
      </c>
      <c r="Y220" s="349">
        <v>6585</v>
      </c>
      <c r="Z220" s="349"/>
      <c r="AA220" s="349"/>
      <c r="AB220" s="349"/>
      <c r="AC220" s="349"/>
      <c r="AD220" s="349">
        <v>3100</v>
      </c>
      <c r="AE220" s="349">
        <v>3100</v>
      </c>
      <c r="AF220" s="349"/>
      <c r="AG220" s="349"/>
      <c r="AH220" s="349">
        <v>2763.5</v>
      </c>
      <c r="AI220" s="349">
        <v>2763.5</v>
      </c>
      <c r="AJ220" s="349"/>
      <c r="AK220" s="349"/>
      <c r="AL220" s="349">
        <f t="shared" si="228"/>
        <v>622.30000000000018</v>
      </c>
      <c r="AM220" s="64">
        <v>5962.7</v>
      </c>
      <c r="AN220" s="64">
        <v>5962.7</v>
      </c>
      <c r="AO220" s="278"/>
      <c r="AP220" s="349"/>
      <c r="AQ220" s="349"/>
      <c r="AR220" s="349"/>
      <c r="AS220" s="64">
        <v>5962.7</v>
      </c>
      <c r="AT220" s="64">
        <v>5962.7</v>
      </c>
      <c r="AU220" s="349"/>
      <c r="AV220" s="349"/>
      <c r="AW220" s="10"/>
      <c r="AX220" s="119"/>
      <c r="BB220" s="285"/>
      <c r="BC220" s="285"/>
    </row>
    <row r="221" spans="1:55" s="14" customFormat="1" ht="42.75" customHeight="1" x14ac:dyDescent="0.25">
      <c r="A221" s="276"/>
      <c r="B221" s="277" t="s">
        <v>656</v>
      </c>
      <c r="C221" s="57"/>
      <c r="D221" s="57"/>
      <c r="E221" s="57"/>
      <c r="F221" s="57"/>
      <c r="G221" s="38">
        <f>G222+G233</f>
        <v>64830</v>
      </c>
      <c r="H221" s="38">
        <f>H222+H233</f>
        <v>61209.5</v>
      </c>
      <c r="I221" s="38">
        <f t="shared" ref="I221:AL221" si="229">SUM(I223:I232)</f>
        <v>0</v>
      </c>
      <c r="J221" s="38">
        <f t="shared" si="229"/>
        <v>0</v>
      </c>
      <c r="K221" s="38">
        <f t="shared" si="229"/>
        <v>0</v>
      </c>
      <c r="L221" s="38">
        <f t="shared" si="229"/>
        <v>0</v>
      </c>
      <c r="M221" s="38">
        <f t="shared" si="229"/>
        <v>0</v>
      </c>
      <c r="N221" s="38">
        <f t="shared" si="229"/>
        <v>0</v>
      </c>
      <c r="O221" s="38">
        <f t="shared" si="229"/>
        <v>0</v>
      </c>
      <c r="P221" s="38">
        <f t="shared" si="229"/>
        <v>0</v>
      </c>
      <c r="Q221" s="38">
        <f t="shared" si="229"/>
        <v>0</v>
      </c>
      <c r="R221" s="38">
        <f t="shared" si="229"/>
        <v>0</v>
      </c>
      <c r="S221" s="38">
        <f t="shared" si="229"/>
        <v>0</v>
      </c>
      <c r="T221" s="38">
        <f t="shared" si="229"/>
        <v>0</v>
      </c>
      <c r="U221" s="38">
        <f t="shared" si="229"/>
        <v>0</v>
      </c>
      <c r="V221" s="38">
        <f t="shared" si="229"/>
        <v>0</v>
      </c>
      <c r="W221" s="38">
        <f t="shared" si="229"/>
        <v>0</v>
      </c>
      <c r="X221" s="38">
        <f t="shared" si="229"/>
        <v>57522</v>
      </c>
      <c r="Y221" s="38">
        <f t="shared" si="229"/>
        <v>53022</v>
      </c>
      <c r="Z221" s="38">
        <f t="shared" si="229"/>
        <v>0</v>
      </c>
      <c r="AA221" s="38">
        <f t="shared" si="229"/>
        <v>0</v>
      </c>
      <c r="AB221" s="38">
        <f t="shared" si="229"/>
        <v>0</v>
      </c>
      <c r="AC221" s="38">
        <f t="shared" si="229"/>
        <v>0</v>
      </c>
      <c r="AD221" s="38">
        <f t="shared" si="229"/>
        <v>0</v>
      </c>
      <c r="AE221" s="38">
        <f t="shared" si="229"/>
        <v>0</v>
      </c>
      <c r="AF221" s="38">
        <f t="shared" si="229"/>
        <v>0</v>
      </c>
      <c r="AG221" s="38">
        <f t="shared" si="229"/>
        <v>0</v>
      </c>
      <c r="AH221" s="38">
        <f t="shared" si="229"/>
        <v>469.2</v>
      </c>
      <c r="AI221" s="38">
        <f t="shared" si="229"/>
        <v>469.2</v>
      </c>
      <c r="AJ221" s="38">
        <f t="shared" si="229"/>
        <v>0</v>
      </c>
      <c r="AK221" s="38">
        <f t="shared" si="229"/>
        <v>0</v>
      </c>
      <c r="AL221" s="38">
        <f t="shared" si="229"/>
        <v>5170</v>
      </c>
      <c r="AM221" s="38">
        <f t="shared" ref="AM221:AN221" si="230">AM222+AM233</f>
        <v>62152</v>
      </c>
      <c r="AN221" s="38">
        <f t="shared" si="230"/>
        <v>58665.5</v>
      </c>
      <c r="AO221" s="38"/>
      <c r="AP221" s="38"/>
      <c r="AQ221" s="38"/>
      <c r="AR221" s="38"/>
      <c r="AS221" s="38">
        <f t="shared" ref="AS221:AT221" si="231">AS222+AS233</f>
        <v>62152</v>
      </c>
      <c r="AT221" s="38">
        <f t="shared" si="231"/>
        <v>58665.5</v>
      </c>
      <c r="AU221" s="278"/>
      <c r="AV221" s="278"/>
      <c r="AW221" s="89"/>
      <c r="BB221" s="282"/>
      <c r="BC221" s="282"/>
    </row>
    <row r="222" spans="1:55" ht="42.75" customHeight="1" x14ac:dyDescent="0.25">
      <c r="A222" s="276"/>
      <c r="B222" s="360" t="s">
        <v>657</v>
      </c>
      <c r="C222" s="57"/>
      <c r="D222" s="57"/>
      <c r="E222" s="57"/>
      <c r="F222" s="57"/>
      <c r="G222" s="38">
        <f t="shared" ref="G222:H222" si="232">SUM(G223:G232)</f>
        <v>50530</v>
      </c>
      <c r="H222" s="38">
        <f t="shared" si="232"/>
        <v>47940</v>
      </c>
      <c r="I222" s="38"/>
      <c r="J222" s="38"/>
      <c r="K222" s="38"/>
      <c r="L222" s="38"/>
      <c r="M222" s="38"/>
      <c r="N222" s="38"/>
      <c r="O222" s="38"/>
      <c r="P222" s="38"/>
      <c r="Q222" s="38"/>
      <c r="R222" s="38"/>
      <c r="S222" s="38"/>
      <c r="T222" s="38"/>
      <c r="U222" s="38"/>
      <c r="V222" s="38"/>
      <c r="W222" s="38"/>
      <c r="X222" s="38"/>
      <c r="Y222" s="38"/>
      <c r="Z222" s="38"/>
      <c r="AA222" s="38"/>
      <c r="AB222" s="38"/>
      <c r="AC222" s="38"/>
      <c r="AD222" s="38"/>
      <c r="AE222" s="38"/>
      <c r="AF222" s="38"/>
      <c r="AG222" s="38"/>
      <c r="AH222" s="38"/>
      <c r="AI222" s="38"/>
      <c r="AJ222" s="38"/>
      <c r="AK222" s="38"/>
      <c r="AL222" s="38"/>
      <c r="AM222" s="38">
        <f>SUM(AM223:AM232)</f>
        <v>47852</v>
      </c>
      <c r="AN222" s="38">
        <f>SUM(AN223:AN232)</f>
        <v>45396</v>
      </c>
      <c r="AO222" s="38"/>
      <c r="AP222" s="38"/>
      <c r="AQ222" s="38"/>
      <c r="AR222" s="38"/>
      <c r="AS222" s="38">
        <f t="shared" ref="AS222:AT222" si="233">SUM(AS223:AS232)</f>
        <v>47852</v>
      </c>
      <c r="AT222" s="38">
        <f t="shared" si="233"/>
        <v>45396</v>
      </c>
      <c r="AU222" s="278"/>
      <c r="AV222" s="278"/>
      <c r="AW222" s="89"/>
      <c r="AX222" s="119"/>
      <c r="BB222" s="285"/>
      <c r="BC222" s="285"/>
    </row>
    <row r="223" spans="1:55" ht="41.25" customHeight="1" x14ac:dyDescent="0.25">
      <c r="A223" s="280">
        <v>7</v>
      </c>
      <c r="B223" s="74" t="s">
        <v>509</v>
      </c>
      <c r="C223" s="41" t="s">
        <v>510</v>
      </c>
      <c r="D223" s="41" t="s">
        <v>511</v>
      </c>
      <c r="E223" s="41" t="s">
        <v>452</v>
      </c>
      <c r="F223" s="361" t="s">
        <v>658</v>
      </c>
      <c r="G223" s="64">
        <v>2000</v>
      </c>
      <c r="H223" s="64">
        <v>2000</v>
      </c>
      <c r="I223" s="349"/>
      <c r="J223" s="349"/>
      <c r="K223" s="349"/>
      <c r="L223" s="349"/>
      <c r="M223" s="349"/>
      <c r="N223" s="349"/>
      <c r="O223" s="349"/>
      <c r="P223" s="349"/>
      <c r="Q223" s="349"/>
      <c r="R223" s="349"/>
      <c r="S223" s="349"/>
      <c r="T223" s="349"/>
      <c r="U223" s="349"/>
      <c r="V223" s="349"/>
      <c r="W223" s="349"/>
      <c r="X223" s="349">
        <v>2000</v>
      </c>
      <c r="Y223" s="349">
        <v>2000</v>
      </c>
      <c r="Z223" s="349"/>
      <c r="AA223" s="349"/>
      <c r="AB223" s="349"/>
      <c r="AC223" s="349"/>
      <c r="AD223" s="349"/>
      <c r="AE223" s="349"/>
      <c r="AF223" s="349"/>
      <c r="AG223" s="349"/>
      <c r="AH223" s="349"/>
      <c r="AI223" s="349"/>
      <c r="AJ223" s="349"/>
      <c r="AK223" s="349"/>
      <c r="AL223" s="349">
        <f>+Y223-AM223</f>
        <v>10</v>
      </c>
      <c r="AM223" s="64">
        <v>1990</v>
      </c>
      <c r="AN223" s="64">
        <v>1923</v>
      </c>
      <c r="AO223" s="278"/>
      <c r="AP223" s="349"/>
      <c r="AQ223" s="349"/>
      <c r="AR223" s="349"/>
      <c r="AS223" s="64">
        <v>1990</v>
      </c>
      <c r="AT223" s="64">
        <v>1923</v>
      </c>
      <c r="AU223" s="349"/>
      <c r="AV223" s="349"/>
      <c r="AW223" s="10"/>
      <c r="AX223" s="119"/>
      <c r="BB223" s="285"/>
      <c r="BC223" s="285"/>
    </row>
    <row r="224" spans="1:55" ht="39.75" customHeight="1" x14ac:dyDescent="0.25">
      <c r="A224" s="280">
        <v>8</v>
      </c>
      <c r="B224" s="74" t="s">
        <v>512</v>
      </c>
      <c r="C224" s="41" t="s">
        <v>513</v>
      </c>
      <c r="D224" s="41" t="s">
        <v>499</v>
      </c>
      <c r="E224" s="41" t="s">
        <v>461</v>
      </c>
      <c r="F224" s="361" t="s">
        <v>659</v>
      </c>
      <c r="G224" s="64">
        <v>5340</v>
      </c>
      <c r="H224" s="64">
        <v>5340</v>
      </c>
      <c r="I224" s="349"/>
      <c r="J224" s="349"/>
      <c r="K224" s="349"/>
      <c r="L224" s="349"/>
      <c r="M224" s="349"/>
      <c r="N224" s="349"/>
      <c r="O224" s="349"/>
      <c r="P224" s="349"/>
      <c r="Q224" s="349"/>
      <c r="R224" s="349"/>
      <c r="S224" s="349"/>
      <c r="T224" s="349"/>
      <c r="U224" s="349"/>
      <c r="V224" s="349"/>
      <c r="W224" s="349"/>
      <c r="X224" s="349">
        <v>5340</v>
      </c>
      <c r="Y224" s="349">
        <v>5340</v>
      </c>
      <c r="Z224" s="349"/>
      <c r="AA224" s="349"/>
      <c r="AB224" s="349"/>
      <c r="AC224" s="349"/>
      <c r="AD224" s="349"/>
      <c r="AE224" s="349"/>
      <c r="AF224" s="349"/>
      <c r="AG224" s="349"/>
      <c r="AH224" s="349"/>
      <c r="AI224" s="349"/>
      <c r="AJ224" s="349"/>
      <c r="AK224" s="349"/>
      <c r="AL224" s="349">
        <f t="shared" ref="AL224:AL232" si="234">+Y224-AM224</f>
        <v>25</v>
      </c>
      <c r="AM224" s="64">
        <v>5315</v>
      </c>
      <c r="AN224" s="64">
        <v>4750</v>
      </c>
      <c r="AO224" s="278"/>
      <c r="AP224" s="349"/>
      <c r="AQ224" s="349"/>
      <c r="AR224" s="349"/>
      <c r="AS224" s="64">
        <v>5315</v>
      </c>
      <c r="AT224" s="64">
        <v>4750</v>
      </c>
      <c r="AU224" s="349"/>
      <c r="AV224" s="349"/>
      <c r="AW224" s="10"/>
      <c r="AX224" s="119"/>
      <c r="BB224" s="285"/>
      <c r="BC224" s="285"/>
    </row>
    <row r="225" spans="1:55" ht="47.25" x14ac:dyDescent="0.25">
      <c r="A225" s="280">
        <v>9</v>
      </c>
      <c r="B225" s="74" t="s">
        <v>514</v>
      </c>
      <c r="C225" s="41" t="s">
        <v>59</v>
      </c>
      <c r="D225" s="41" t="s">
        <v>515</v>
      </c>
      <c r="E225" s="41" t="s">
        <v>461</v>
      </c>
      <c r="F225" s="361" t="s">
        <v>660</v>
      </c>
      <c r="G225" s="64">
        <v>2000</v>
      </c>
      <c r="H225" s="64">
        <v>2000</v>
      </c>
      <c r="I225" s="349"/>
      <c r="J225" s="349"/>
      <c r="K225" s="349"/>
      <c r="L225" s="349"/>
      <c r="M225" s="349"/>
      <c r="N225" s="349"/>
      <c r="O225" s="349"/>
      <c r="P225" s="349"/>
      <c r="Q225" s="349"/>
      <c r="R225" s="349"/>
      <c r="S225" s="349"/>
      <c r="T225" s="349"/>
      <c r="U225" s="349"/>
      <c r="V225" s="349"/>
      <c r="W225" s="349"/>
      <c r="X225" s="349">
        <v>2000</v>
      </c>
      <c r="Y225" s="349">
        <v>2000</v>
      </c>
      <c r="Z225" s="349"/>
      <c r="AA225" s="349"/>
      <c r="AB225" s="349"/>
      <c r="AC225" s="349"/>
      <c r="AD225" s="349"/>
      <c r="AE225" s="349"/>
      <c r="AF225" s="349"/>
      <c r="AG225" s="349"/>
      <c r="AH225" s="349"/>
      <c r="AI225" s="349"/>
      <c r="AJ225" s="349"/>
      <c r="AK225" s="349"/>
      <c r="AL225" s="349">
        <f t="shared" si="234"/>
        <v>10</v>
      </c>
      <c r="AM225" s="64">
        <v>1990</v>
      </c>
      <c r="AN225" s="64">
        <v>1894</v>
      </c>
      <c r="AO225" s="278"/>
      <c r="AP225" s="349"/>
      <c r="AQ225" s="349"/>
      <c r="AR225" s="349"/>
      <c r="AS225" s="64">
        <v>1990</v>
      </c>
      <c r="AT225" s="64">
        <v>1894</v>
      </c>
      <c r="AU225" s="349"/>
      <c r="AV225" s="349"/>
      <c r="AW225" s="10"/>
      <c r="AX225" s="119"/>
      <c r="BB225" s="285"/>
      <c r="BC225" s="285"/>
    </row>
    <row r="226" spans="1:55" ht="39.75" customHeight="1" x14ac:dyDescent="0.25">
      <c r="A226" s="280">
        <v>10</v>
      </c>
      <c r="B226" s="74" t="s">
        <v>516</v>
      </c>
      <c r="C226" s="41" t="s">
        <v>517</v>
      </c>
      <c r="D226" s="41" t="s">
        <v>518</v>
      </c>
      <c r="E226" s="41" t="s">
        <v>461</v>
      </c>
      <c r="F226" s="361" t="s">
        <v>661</v>
      </c>
      <c r="G226" s="64">
        <v>7500</v>
      </c>
      <c r="H226" s="64">
        <v>5000</v>
      </c>
      <c r="I226" s="349"/>
      <c r="J226" s="349"/>
      <c r="K226" s="349"/>
      <c r="L226" s="349"/>
      <c r="M226" s="349"/>
      <c r="N226" s="349"/>
      <c r="O226" s="349"/>
      <c r="P226" s="349"/>
      <c r="Q226" s="349"/>
      <c r="R226" s="349"/>
      <c r="S226" s="349"/>
      <c r="T226" s="349"/>
      <c r="U226" s="349"/>
      <c r="V226" s="349"/>
      <c r="W226" s="349"/>
      <c r="X226" s="349">
        <v>7500</v>
      </c>
      <c r="Y226" s="349">
        <v>5000</v>
      </c>
      <c r="Z226" s="349"/>
      <c r="AA226" s="349"/>
      <c r="AB226" s="349"/>
      <c r="AC226" s="349"/>
      <c r="AD226" s="349"/>
      <c r="AE226" s="349"/>
      <c r="AF226" s="349"/>
      <c r="AG226" s="349"/>
      <c r="AH226" s="349"/>
      <c r="AI226" s="349"/>
      <c r="AJ226" s="349"/>
      <c r="AK226" s="349"/>
      <c r="AL226" s="349">
        <f t="shared" si="234"/>
        <v>35</v>
      </c>
      <c r="AM226" s="64">
        <v>4965</v>
      </c>
      <c r="AN226" s="64">
        <v>4965</v>
      </c>
      <c r="AO226" s="278"/>
      <c r="AP226" s="349"/>
      <c r="AQ226" s="349"/>
      <c r="AR226" s="349"/>
      <c r="AS226" s="64">
        <v>4965</v>
      </c>
      <c r="AT226" s="64">
        <v>4965</v>
      </c>
      <c r="AU226" s="349"/>
      <c r="AV226" s="349"/>
      <c r="AW226" s="10"/>
      <c r="AX226" s="119"/>
      <c r="BB226" s="285"/>
      <c r="BC226" s="285"/>
    </row>
    <row r="227" spans="1:55" ht="47.25" x14ac:dyDescent="0.25">
      <c r="A227" s="280">
        <v>11</v>
      </c>
      <c r="B227" s="74" t="s">
        <v>519</v>
      </c>
      <c r="C227" s="41" t="s">
        <v>54</v>
      </c>
      <c r="D227" s="41" t="s">
        <v>520</v>
      </c>
      <c r="E227" s="41" t="s">
        <v>46</v>
      </c>
      <c r="F227" s="361" t="s">
        <v>662</v>
      </c>
      <c r="G227" s="64">
        <v>2500</v>
      </c>
      <c r="H227" s="64">
        <v>2500</v>
      </c>
      <c r="I227" s="349"/>
      <c r="J227" s="349"/>
      <c r="K227" s="349"/>
      <c r="L227" s="349"/>
      <c r="M227" s="349"/>
      <c r="N227" s="349"/>
      <c r="O227" s="349"/>
      <c r="P227" s="349"/>
      <c r="Q227" s="349"/>
      <c r="R227" s="349"/>
      <c r="S227" s="349"/>
      <c r="T227" s="349"/>
      <c r="U227" s="349"/>
      <c r="V227" s="349"/>
      <c r="W227" s="349"/>
      <c r="X227" s="349">
        <v>2500</v>
      </c>
      <c r="Y227" s="349">
        <v>2500</v>
      </c>
      <c r="Z227" s="349"/>
      <c r="AA227" s="349"/>
      <c r="AB227" s="349"/>
      <c r="AC227" s="349"/>
      <c r="AD227" s="349"/>
      <c r="AE227" s="349"/>
      <c r="AF227" s="349"/>
      <c r="AG227" s="349"/>
      <c r="AH227" s="349"/>
      <c r="AI227" s="349"/>
      <c r="AJ227" s="349"/>
      <c r="AK227" s="349"/>
      <c r="AL227" s="349">
        <f t="shared" si="234"/>
        <v>15</v>
      </c>
      <c r="AM227" s="64">
        <v>2485</v>
      </c>
      <c r="AN227" s="64">
        <v>2068</v>
      </c>
      <c r="AO227" s="278"/>
      <c r="AP227" s="349"/>
      <c r="AQ227" s="349"/>
      <c r="AR227" s="349"/>
      <c r="AS227" s="64">
        <v>2485</v>
      </c>
      <c r="AT227" s="64">
        <v>2068</v>
      </c>
      <c r="AU227" s="349"/>
      <c r="AV227" s="349"/>
      <c r="AW227" s="10"/>
      <c r="AX227" s="119"/>
      <c r="BB227" s="285"/>
      <c r="BC227" s="285"/>
    </row>
    <row r="228" spans="1:55" ht="47.25" x14ac:dyDescent="0.25">
      <c r="A228" s="280">
        <v>12</v>
      </c>
      <c r="B228" s="74" t="s">
        <v>521</v>
      </c>
      <c r="C228" s="41" t="s">
        <v>58</v>
      </c>
      <c r="D228" s="41" t="s">
        <v>522</v>
      </c>
      <c r="E228" s="41" t="s">
        <v>46</v>
      </c>
      <c r="F228" s="361" t="s">
        <v>663</v>
      </c>
      <c r="G228" s="64">
        <v>3500</v>
      </c>
      <c r="H228" s="64">
        <v>3500</v>
      </c>
      <c r="I228" s="349"/>
      <c r="J228" s="349"/>
      <c r="K228" s="349"/>
      <c r="L228" s="349"/>
      <c r="M228" s="349"/>
      <c r="N228" s="349"/>
      <c r="O228" s="349"/>
      <c r="P228" s="349"/>
      <c r="Q228" s="349"/>
      <c r="R228" s="349"/>
      <c r="S228" s="349"/>
      <c r="T228" s="349"/>
      <c r="U228" s="349"/>
      <c r="V228" s="349"/>
      <c r="W228" s="349"/>
      <c r="X228" s="349">
        <v>3500</v>
      </c>
      <c r="Y228" s="349">
        <v>3500</v>
      </c>
      <c r="Z228" s="349"/>
      <c r="AA228" s="349"/>
      <c r="AB228" s="349"/>
      <c r="AC228" s="349"/>
      <c r="AD228" s="349"/>
      <c r="AE228" s="349"/>
      <c r="AF228" s="349"/>
      <c r="AG228" s="349"/>
      <c r="AH228" s="349"/>
      <c r="AI228" s="349"/>
      <c r="AJ228" s="349"/>
      <c r="AK228" s="349"/>
      <c r="AL228" s="349">
        <f t="shared" si="234"/>
        <v>18</v>
      </c>
      <c r="AM228" s="64">
        <v>3482</v>
      </c>
      <c r="AN228" s="64">
        <v>2997</v>
      </c>
      <c r="AO228" s="278"/>
      <c r="AP228" s="349"/>
      <c r="AQ228" s="349"/>
      <c r="AR228" s="349"/>
      <c r="AS228" s="64">
        <v>3482</v>
      </c>
      <c r="AT228" s="64">
        <v>2997</v>
      </c>
      <c r="AU228" s="349"/>
      <c r="AV228" s="349"/>
      <c r="AW228" s="10"/>
      <c r="AX228" s="119"/>
      <c r="BB228" s="285"/>
      <c r="BC228" s="285"/>
    </row>
    <row r="229" spans="1:55" ht="31.5" x14ac:dyDescent="0.25">
      <c r="A229" s="280">
        <v>13</v>
      </c>
      <c r="B229" s="74" t="s">
        <v>523</v>
      </c>
      <c r="C229" s="41" t="s">
        <v>524</v>
      </c>
      <c r="D229" s="41" t="s">
        <v>525</v>
      </c>
      <c r="E229" s="41" t="s">
        <v>461</v>
      </c>
      <c r="F229" s="361" t="s">
        <v>664</v>
      </c>
      <c r="G229" s="64">
        <v>5000</v>
      </c>
      <c r="H229" s="64">
        <v>5000</v>
      </c>
      <c r="I229" s="349"/>
      <c r="J229" s="349"/>
      <c r="K229" s="349"/>
      <c r="L229" s="349"/>
      <c r="M229" s="349"/>
      <c r="N229" s="349"/>
      <c r="O229" s="349"/>
      <c r="P229" s="349"/>
      <c r="Q229" s="349"/>
      <c r="R229" s="349"/>
      <c r="S229" s="349"/>
      <c r="T229" s="349"/>
      <c r="U229" s="349"/>
      <c r="V229" s="349"/>
      <c r="W229" s="349"/>
      <c r="X229" s="349">
        <v>5000</v>
      </c>
      <c r="Y229" s="349">
        <v>5000</v>
      </c>
      <c r="Z229" s="349"/>
      <c r="AA229" s="349"/>
      <c r="AB229" s="349"/>
      <c r="AC229" s="349"/>
      <c r="AD229" s="349"/>
      <c r="AE229" s="349"/>
      <c r="AF229" s="349"/>
      <c r="AG229" s="349"/>
      <c r="AH229" s="349"/>
      <c r="AI229" s="349"/>
      <c r="AJ229" s="349"/>
      <c r="AK229" s="349"/>
      <c r="AL229" s="349">
        <f t="shared" si="234"/>
        <v>25</v>
      </c>
      <c r="AM229" s="64">
        <v>4975</v>
      </c>
      <c r="AN229" s="64">
        <v>4410</v>
      </c>
      <c r="AO229" s="278"/>
      <c r="AP229" s="349"/>
      <c r="AQ229" s="349"/>
      <c r="AR229" s="349"/>
      <c r="AS229" s="64">
        <v>4975</v>
      </c>
      <c r="AT229" s="64">
        <v>4410</v>
      </c>
      <c r="AU229" s="349"/>
      <c r="AV229" s="349"/>
      <c r="AW229" s="10"/>
      <c r="AX229" s="119"/>
      <c r="BB229" s="285"/>
      <c r="BC229" s="285"/>
    </row>
    <row r="230" spans="1:55" ht="31.5" x14ac:dyDescent="0.25">
      <c r="A230" s="280">
        <v>14</v>
      </c>
      <c r="B230" s="74" t="s">
        <v>526</v>
      </c>
      <c r="C230" s="41" t="s">
        <v>56</v>
      </c>
      <c r="D230" s="41" t="s">
        <v>465</v>
      </c>
      <c r="E230" s="41" t="s">
        <v>461</v>
      </c>
      <c r="F230" s="41"/>
      <c r="G230" s="64">
        <v>4500</v>
      </c>
      <c r="H230" s="64">
        <v>4500</v>
      </c>
      <c r="I230" s="349"/>
      <c r="J230" s="349"/>
      <c r="K230" s="349"/>
      <c r="L230" s="349"/>
      <c r="M230" s="349"/>
      <c r="N230" s="349"/>
      <c r="O230" s="349"/>
      <c r="P230" s="349"/>
      <c r="Q230" s="349"/>
      <c r="R230" s="349"/>
      <c r="S230" s="349"/>
      <c r="T230" s="349"/>
      <c r="U230" s="349"/>
      <c r="V230" s="349"/>
      <c r="W230" s="349"/>
      <c r="X230" s="349">
        <v>4500</v>
      </c>
      <c r="Y230" s="349">
        <v>4500</v>
      </c>
      <c r="Z230" s="349"/>
      <c r="AA230" s="349"/>
      <c r="AB230" s="349"/>
      <c r="AC230" s="349"/>
      <c r="AD230" s="349"/>
      <c r="AE230" s="349"/>
      <c r="AF230" s="349"/>
      <c r="AG230" s="349"/>
      <c r="AH230" s="349"/>
      <c r="AI230" s="349"/>
      <c r="AJ230" s="349"/>
      <c r="AK230" s="349"/>
      <c r="AL230" s="349">
        <f t="shared" si="234"/>
        <v>25</v>
      </c>
      <c r="AM230" s="64">
        <v>4475</v>
      </c>
      <c r="AN230" s="64">
        <v>4475</v>
      </c>
      <c r="AO230" s="278"/>
      <c r="AP230" s="349"/>
      <c r="AQ230" s="349"/>
      <c r="AR230" s="349"/>
      <c r="AS230" s="64">
        <v>4475</v>
      </c>
      <c r="AT230" s="64">
        <v>4475</v>
      </c>
      <c r="AU230" s="349"/>
      <c r="AV230" s="349"/>
      <c r="AW230" s="10"/>
      <c r="AX230" s="119"/>
      <c r="BB230" s="285"/>
      <c r="BC230" s="285"/>
    </row>
    <row r="231" spans="1:55" ht="31.5" x14ac:dyDescent="0.25">
      <c r="A231" s="280">
        <v>15</v>
      </c>
      <c r="B231" s="74" t="s">
        <v>527</v>
      </c>
      <c r="C231" s="41" t="s">
        <v>528</v>
      </c>
      <c r="D231" s="41" t="s">
        <v>529</v>
      </c>
      <c r="E231" s="41" t="s">
        <v>461</v>
      </c>
      <c r="F231" s="361" t="s">
        <v>665</v>
      </c>
      <c r="G231" s="64">
        <v>3200</v>
      </c>
      <c r="H231" s="64">
        <v>3200</v>
      </c>
      <c r="I231" s="349"/>
      <c r="J231" s="349"/>
      <c r="K231" s="349"/>
      <c r="L231" s="349"/>
      <c r="M231" s="349"/>
      <c r="N231" s="349"/>
      <c r="O231" s="349"/>
      <c r="P231" s="349"/>
      <c r="Q231" s="349"/>
      <c r="R231" s="349"/>
      <c r="S231" s="349"/>
      <c r="T231" s="349"/>
      <c r="U231" s="349"/>
      <c r="V231" s="349"/>
      <c r="W231" s="349"/>
      <c r="X231" s="349">
        <v>3200</v>
      </c>
      <c r="Y231" s="349">
        <v>3200</v>
      </c>
      <c r="Z231" s="349"/>
      <c r="AA231" s="349"/>
      <c r="AB231" s="349"/>
      <c r="AC231" s="349"/>
      <c r="AD231" s="349"/>
      <c r="AE231" s="349"/>
      <c r="AF231" s="349"/>
      <c r="AG231" s="349"/>
      <c r="AH231" s="349"/>
      <c r="AI231" s="349"/>
      <c r="AJ231" s="349"/>
      <c r="AK231" s="349"/>
      <c r="AL231" s="349">
        <f t="shared" si="234"/>
        <v>15</v>
      </c>
      <c r="AM231" s="64">
        <v>3185</v>
      </c>
      <c r="AN231" s="64">
        <v>3014</v>
      </c>
      <c r="AO231" s="278"/>
      <c r="AP231" s="349"/>
      <c r="AQ231" s="349"/>
      <c r="AR231" s="349"/>
      <c r="AS231" s="64">
        <v>3185</v>
      </c>
      <c r="AT231" s="64">
        <v>3014</v>
      </c>
      <c r="AU231" s="349"/>
      <c r="AV231" s="349"/>
      <c r="AW231" s="10"/>
      <c r="AX231" s="119"/>
      <c r="BB231" s="285"/>
      <c r="BC231" s="285"/>
    </row>
    <row r="232" spans="1:55" s="14" customFormat="1" ht="42" customHeight="1" x14ac:dyDescent="0.25">
      <c r="A232" s="280">
        <v>16</v>
      </c>
      <c r="B232" s="74" t="s">
        <v>530</v>
      </c>
      <c r="C232" s="41" t="s">
        <v>524</v>
      </c>
      <c r="D232" s="41" t="s">
        <v>531</v>
      </c>
      <c r="E232" s="41" t="s">
        <v>65</v>
      </c>
      <c r="F232" s="353" t="s">
        <v>666</v>
      </c>
      <c r="G232" s="64">
        <v>14990</v>
      </c>
      <c r="H232" s="64">
        <v>14900</v>
      </c>
      <c r="I232" s="349"/>
      <c r="J232" s="349"/>
      <c r="K232" s="349"/>
      <c r="L232" s="349"/>
      <c r="M232" s="349"/>
      <c r="N232" s="349"/>
      <c r="O232" s="349"/>
      <c r="P232" s="349"/>
      <c r="Q232" s="349"/>
      <c r="R232" s="349"/>
      <c r="S232" s="349"/>
      <c r="T232" s="349"/>
      <c r="U232" s="349"/>
      <c r="V232" s="349"/>
      <c r="W232" s="349"/>
      <c r="X232" s="352">
        <f>Y232+2000</f>
        <v>21982</v>
      </c>
      <c r="Y232" s="352">
        <f>18000-1778+3760</f>
        <v>19982</v>
      </c>
      <c r="Z232" s="349"/>
      <c r="AA232" s="349"/>
      <c r="AB232" s="349"/>
      <c r="AC232" s="349"/>
      <c r="AD232" s="349"/>
      <c r="AE232" s="349"/>
      <c r="AF232" s="349"/>
      <c r="AG232" s="349"/>
      <c r="AH232" s="56">
        <v>469.2</v>
      </c>
      <c r="AI232" s="56">
        <v>469.2</v>
      </c>
      <c r="AJ232" s="349"/>
      <c r="AK232" s="349"/>
      <c r="AL232" s="349">
        <f t="shared" si="234"/>
        <v>4992</v>
      </c>
      <c r="AM232" s="64">
        <v>14990</v>
      </c>
      <c r="AN232" s="64">
        <v>14900</v>
      </c>
      <c r="AO232" s="278"/>
      <c r="AP232" s="349"/>
      <c r="AQ232" s="349"/>
      <c r="AR232" s="349"/>
      <c r="AS232" s="64">
        <v>14990</v>
      </c>
      <c r="AT232" s="64">
        <v>14900</v>
      </c>
      <c r="AU232" s="349"/>
      <c r="AV232" s="349"/>
      <c r="AW232" s="10"/>
      <c r="BB232" s="282"/>
      <c r="BC232" s="282"/>
    </row>
    <row r="233" spans="1:55" ht="34.5" customHeight="1" x14ac:dyDescent="0.25">
      <c r="A233" s="276"/>
      <c r="B233" s="279" t="s">
        <v>480</v>
      </c>
      <c r="C233" s="57"/>
      <c r="D233" s="57"/>
      <c r="E233" s="57"/>
      <c r="F233" s="57"/>
      <c r="G233" s="362">
        <f>SUM(G234:G235)</f>
        <v>14300</v>
      </c>
      <c r="H233" s="362">
        <f>SUM(H234:H235)</f>
        <v>13269.5</v>
      </c>
      <c r="I233" s="278"/>
      <c r="J233" s="278"/>
      <c r="K233" s="278"/>
      <c r="L233" s="278"/>
      <c r="M233" s="278"/>
      <c r="N233" s="278"/>
      <c r="O233" s="278"/>
      <c r="P233" s="278"/>
      <c r="Q233" s="278"/>
      <c r="R233" s="278"/>
      <c r="S233" s="278"/>
      <c r="T233" s="278"/>
      <c r="U233" s="278"/>
      <c r="V233" s="278"/>
      <c r="W233" s="278"/>
      <c r="X233" s="362"/>
      <c r="Y233" s="362"/>
      <c r="Z233" s="278"/>
      <c r="AA233" s="278"/>
      <c r="AB233" s="278"/>
      <c r="AC233" s="278"/>
      <c r="AD233" s="278"/>
      <c r="AE233" s="278"/>
      <c r="AF233" s="278"/>
      <c r="AG233" s="278"/>
      <c r="AH233" s="77"/>
      <c r="AI233" s="77"/>
      <c r="AJ233" s="278"/>
      <c r="AK233" s="278">
        <f>+AK234</f>
        <v>11500</v>
      </c>
      <c r="AL233" s="278">
        <f>+AL234</f>
        <v>0</v>
      </c>
      <c r="AM233" s="362">
        <f t="shared" ref="AM233:AN233" si="235">SUM(AM234:AM235)</f>
        <v>14300</v>
      </c>
      <c r="AN233" s="362">
        <f t="shared" si="235"/>
        <v>13269.5</v>
      </c>
      <c r="AO233" s="278"/>
      <c r="AP233" s="278"/>
      <c r="AQ233" s="278"/>
      <c r="AR233" s="278"/>
      <c r="AS233" s="278">
        <f>SUM(AS234:AS235)</f>
        <v>14300</v>
      </c>
      <c r="AT233" s="278">
        <f>SUM(AT234:AT235)</f>
        <v>13269.5</v>
      </c>
      <c r="AU233" s="278"/>
      <c r="AV233" s="278"/>
      <c r="AW233" s="89"/>
      <c r="AX233" s="119"/>
      <c r="BB233" s="285"/>
      <c r="BC233" s="285"/>
    </row>
    <row r="234" spans="1:55" ht="39.75" customHeight="1" x14ac:dyDescent="0.25">
      <c r="A234" s="280">
        <v>1</v>
      </c>
      <c r="B234" s="74" t="s">
        <v>532</v>
      </c>
      <c r="C234" s="363" t="s">
        <v>667</v>
      </c>
      <c r="D234" s="342" t="s">
        <v>72</v>
      </c>
      <c r="E234" s="41">
        <v>2020</v>
      </c>
      <c r="F234" s="353" t="s">
        <v>668</v>
      </c>
      <c r="G234" s="364">
        <v>11500</v>
      </c>
      <c r="H234" s="364">
        <v>10642</v>
      </c>
      <c r="I234" s="349"/>
      <c r="J234" s="349"/>
      <c r="K234" s="349"/>
      <c r="L234" s="349"/>
      <c r="M234" s="349"/>
      <c r="N234" s="349"/>
      <c r="O234" s="349"/>
      <c r="P234" s="349"/>
      <c r="Q234" s="349"/>
      <c r="R234" s="349"/>
      <c r="S234" s="349"/>
      <c r="T234" s="349"/>
      <c r="U234" s="349"/>
      <c r="V234" s="349"/>
      <c r="W234" s="349"/>
      <c r="X234" s="352"/>
      <c r="Y234" s="352"/>
      <c r="Z234" s="349"/>
      <c r="AA234" s="349"/>
      <c r="AB234" s="349"/>
      <c r="AC234" s="349"/>
      <c r="AD234" s="349"/>
      <c r="AE234" s="349"/>
      <c r="AF234" s="349"/>
      <c r="AG234" s="349"/>
      <c r="AH234" s="56"/>
      <c r="AI234" s="56"/>
      <c r="AJ234" s="349"/>
      <c r="AK234" s="349">
        <f>+AM234</f>
        <v>11500</v>
      </c>
      <c r="AL234" s="349"/>
      <c r="AM234" s="349">
        <v>11500</v>
      </c>
      <c r="AN234" s="364">
        <v>10642</v>
      </c>
      <c r="AO234" s="278"/>
      <c r="AP234" s="349"/>
      <c r="AQ234" s="349"/>
      <c r="AR234" s="349"/>
      <c r="AS234" s="349">
        <v>11500</v>
      </c>
      <c r="AT234" s="364">
        <v>10642</v>
      </c>
      <c r="AU234" s="349"/>
      <c r="AV234" s="349"/>
      <c r="AW234" s="10"/>
      <c r="AX234" s="119"/>
      <c r="BB234" s="285"/>
      <c r="BC234" s="285"/>
    </row>
    <row r="235" spans="1:55" ht="39.75" customHeight="1" x14ac:dyDescent="0.25">
      <c r="A235" s="286">
        <v>2</v>
      </c>
      <c r="B235" s="365" t="s">
        <v>669</v>
      </c>
      <c r="C235" s="363" t="s">
        <v>667</v>
      </c>
      <c r="D235" s="342" t="s">
        <v>72</v>
      </c>
      <c r="E235" s="342">
        <v>2020</v>
      </c>
      <c r="F235" s="353" t="s">
        <v>670</v>
      </c>
      <c r="G235" s="366">
        <v>2800</v>
      </c>
      <c r="H235" s="366">
        <v>2627.5</v>
      </c>
      <c r="I235" s="290"/>
      <c r="J235" s="290"/>
      <c r="K235" s="290"/>
      <c r="L235" s="290"/>
      <c r="M235" s="290"/>
      <c r="N235" s="290"/>
      <c r="O235" s="290"/>
      <c r="P235" s="290"/>
      <c r="Q235" s="290"/>
      <c r="R235" s="290"/>
      <c r="S235" s="290"/>
      <c r="T235" s="290"/>
      <c r="U235" s="290"/>
      <c r="V235" s="290"/>
      <c r="W235" s="290"/>
      <c r="X235" s="289"/>
      <c r="Y235" s="289"/>
      <c r="Z235" s="290"/>
      <c r="AA235" s="290"/>
      <c r="AB235" s="290"/>
      <c r="AC235" s="290"/>
      <c r="AD235" s="290"/>
      <c r="AE235" s="290"/>
      <c r="AF235" s="290"/>
      <c r="AG235" s="290"/>
      <c r="AH235" s="291"/>
      <c r="AI235" s="291"/>
      <c r="AJ235" s="290"/>
      <c r="AK235" s="290"/>
      <c r="AL235" s="290"/>
      <c r="AM235" s="290">
        <v>2800</v>
      </c>
      <c r="AN235" s="366">
        <v>2627.5</v>
      </c>
      <c r="AO235" s="290"/>
      <c r="AP235" s="290"/>
      <c r="AQ235" s="290"/>
      <c r="AR235" s="290"/>
      <c r="AS235" s="290">
        <v>2800</v>
      </c>
      <c r="AT235" s="366">
        <v>2627.5</v>
      </c>
      <c r="AU235" s="290"/>
      <c r="AV235" s="290"/>
      <c r="AW235" s="292"/>
      <c r="AX235" s="119"/>
      <c r="BB235" s="285"/>
      <c r="BC235" s="285"/>
    </row>
    <row r="236" spans="1:55" s="294" customFormat="1" ht="24.75" customHeight="1" x14ac:dyDescent="0.25">
      <c r="A236" s="286"/>
      <c r="B236" s="287"/>
      <c r="C236" s="288"/>
      <c r="D236" s="288"/>
      <c r="E236" s="288"/>
      <c r="F236" s="288"/>
      <c r="G236" s="289"/>
      <c r="H236" s="289"/>
      <c r="I236" s="290"/>
      <c r="J236" s="290"/>
      <c r="K236" s="290"/>
      <c r="L236" s="290"/>
      <c r="M236" s="290"/>
      <c r="N236" s="290"/>
      <c r="O236" s="290"/>
      <c r="P236" s="290"/>
      <c r="Q236" s="290"/>
      <c r="R236" s="290"/>
      <c r="S236" s="290"/>
      <c r="T236" s="290"/>
      <c r="U236" s="290"/>
      <c r="V236" s="290"/>
      <c r="W236" s="290"/>
      <c r="X236" s="289"/>
      <c r="Y236" s="289"/>
      <c r="Z236" s="290"/>
      <c r="AA236" s="290"/>
      <c r="AB236" s="290"/>
      <c r="AC236" s="290"/>
      <c r="AD236" s="290"/>
      <c r="AE236" s="290"/>
      <c r="AF236" s="290"/>
      <c r="AG236" s="290"/>
      <c r="AH236" s="291"/>
      <c r="AI236" s="291"/>
      <c r="AJ236" s="290"/>
      <c r="AK236" s="290"/>
      <c r="AL236" s="290"/>
      <c r="AM236" s="290"/>
      <c r="AN236" s="290"/>
      <c r="AO236" s="290"/>
      <c r="AP236" s="290"/>
      <c r="AQ236" s="290"/>
      <c r="AR236" s="290"/>
      <c r="AS236" s="290"/>
      <c r="AT236" s="290"/>
      <c r="AU236" s="290"/>
      <c r="AV236" s="290"/>
      <c r="AW236" s="292">
        <v>235975</v>
      </c>
      <c r="AX236" s="293"/>
      <c r="BC236" s="295"/>
    </row>
    <row r="237" spans="1:55" s="300" customFormat="1" ht="38.25" customHeight="1" x14ac:dyDescent="0.25">
      <c r="A237" s="274" t="s">
        <v>648</v>
      </c>
      <c r="B237" s="275" t="s">
        <v>577</v>
      </c>
      <c r="C237" s="296"/>
      <c r="D237" s="296"/>
      <c r="E237" s="296"/>
      <c r="F237" s="296"/>
      <c r="G237" s="116">
        <f t="shared" ref="G237:AS237" si="236">G238+G258</f>
        <v>574736</v>
      </c>
      <c r="H237" s="116">
        <f t="shared" si="236"/>
        <v>531795</v>
      </c>
      <c r="I237" s="116">
        <f t="shared" si="236"/>
        <v>0</v>
      </c>
      <c r="J237" s="116">
        <f t="shared" si="236"/>
        <v>0</v>
      </c>
      <c r="K237" s="116">
        <f t="shared" si="236"/>
        <v>0</v>
      </c>
      <c r="L237" s="116">
        <f t="shared" si="236"/>
        <v>0</v>
      </c>
      <c r="M237" s="116">
        <f t="shared" si="236"/>
        <v>0</v>
      </c>
      <c r="N237" s="116">
        <f t="shared" si="236"/>
        <v>2700</v>
      </c>
      <c r="O237" s="116">
        <f t="shared" si="236"/>
        <v>2700</v>
      </c>
      <c r="P237" s="116">
        <f t="shared" si="236"/>
        <v>0</v>
      </c>
      <c r="Q237" s="116">
        <f t="shared" si="236"/>
        <v>0</v>
      </c>
      <c r="R237" s="116">
        <f t="shared" si="236"/>
        <v>0</v>
      </c>
      <c r="S237" s="116">
        <f t="shared" si="236"/>
        <v>0</v>
      </c>
      <c r="T237" s="116">
        <f t="shared" si="236"/>
        <v>0</v>
      </c>
      <c r="U237" s="116">
        <f t="shared" si="236"/>
        <v>0</v>
      </c>
      <c r="V237" s="116">
        <f t="shared" si="236"/>
        <v>0</v>
      </c>
      <c r="W237" s="116">
        <f t="shared" si="236"/>
        <v>0</v>
      </c>
      <c r="X237" s="116">
        <f t="shared" si="236"/>
        <v>0</v>
      </c>
      <c r="Y237" s="116">
        <f t="shared" si="236"/>
        <v>0</v>
      </c>
      <c r="Z237" s="116">
        <f t="shared" si="236"/>
        <v>0</v>
      </c>
      <c r="AA237" s="116">
        <f t="shared" si="236"/>
        <v>0</v>
      </c>
      <c r="AB237" s="116">
        <f t="shared" si="236"/>
        <v>0</v>
      </c>
      <c r="AC237" s="116">
        <f t="shared" si="236"/>
        <v>0</v>
      </c>
      <c r="AD237" s="116">
        <f t="shared" si="236"/>
        <v>0</v>
      </c>
      <c r="AE237" s="116">
        <f t="shared" si="236"/>
        <v>0</v>
      </c>
      <c r="AF237" s="116">
        <f t="shared" si="236"/>
        <v>0</v>
      </c>
      <c r="AG237" s="116">
        <f t="shared" si="236"/>
        <v>0</v>
      </c>
      <c r="AH237" s="116">
        <f t="shared" si="236"/>
        <v>0</v>
      </c>
      <c r="AI237" s="116">
        <f t="shared" si="236"/>
        <v>0</v>
      </c>
      <c r="AJ237" s="116">
        <f t="shared" si="236"/>
        <v>0</v>
      </c>
      <c r="AK237" s="116">
        <f t="shared" si="236"/>
        <v>0</v>
      </c>
      <c r="AL237" s="116">
        <f t="shared" si="236"/>
        <v>0</v>
      </c>
      <c r="AM237" s="116">
        <f t="shared" si="236"/>
        <v>0</v>
      </c>
      <c r="AN237" s="116">
        <f t="shared" si="236"/>
        <v>0</v>
      </c>
      <c r="AO237" s="116">
        <f t="shared" si="236"/>
        <v>0</v>
      </c>
      <c r="AP237" s="116">
        <f t="shared" si="236"/>
        <v>0</v>
      </c>
      <c r="AQ237" s="116">
        <f t="shared" si="236"/>
        <v>256270.3</v>
      </c>
      <c r="AR237" s="116">
        <f t="shared" si="236"/>
        <v>0</v>
      </c>
      <c r="AS237" s="116">
        <f t="shared" si="236"/>
        <v>276516.3</v>
      </c>
      <c r="AT237" s="116">
        <f>AT238+AT258</f>
        <v>256270.3</v>
      </c>
      <c r="AU237" s="297"/>
      <c r="AV237" s="297"/>
      <c r="AW237" s="298">
        <f>+AT237</f>
        <v>256270.3</v>
      </c>
      <c r="AX237" s="340">
        <v>206835</v>
      </c>
      <c r="AY237" s="300">
        <f>AW236-AT237</f>
        <v>-20295.299999999988</v>
      </c>
      <c r="BC237" s="301"/>
    </row>
    <row r="238" spans="1:55" s="306" customFormat="1" ht="55.5" customHeight="1" x14ac:dyDescent="0.25">
      <c r="A238" s="276" t="s">
        <v>649</v>
      </c>
      <c r="B238" s="275" t="s">
        <v>578</v>
      </c>
      <c r="C238" s="302"/>
      <c r="D238" s="302"/>
      <c r="E238" s="302"/>
      <c r="F238" s="302"/>
      <c r="G238" s="116">
        <f t="shared" ref="G238:AS238" si="237">G239+G252</f>
        <v>100846</v>
      </c>
      <c r="H238" s="116">
        <f t="shared" si="237"/>
        <v>100483</v>
      </c>
      <c r="I238" s="116">
        <f t="shared" si="237"/>
        <v>0</v>
      </c>
      <c r="J238" s="116">
        <f t="shared" si="237"/>
        <v>0</v>
      </c>
      <c r="K238" s="116">
        <f t="shared" si="237"/>
        <v>0</v>
      </c>
      <c r="L238" s="116">
        <f t="shared" si="237"/>
        <v>0</v>
      </c>
      <c r="M238" s="116">
        <f t="shared" si="237"/>
        <v>0</v>
      </c>
      <c r="N238" s="116">
        <f t="shared" si="237"/>
        <v>0</v>
      </c>
      <c r="O238" s="116">
        <f t="shared" si="237"/>
        <v>0</v>
      </c>
      <c r="P238" s="116">
        <f t="shared" si="237"/>
        <v>0</v>
      </c>
      <c r="Q238" s="116">
        <f t="shared" si="237"/>
        <v>0</v>
      </c>
      <c r="R238" s="116">
        <f t="shared" si="237"/>
        <v>0</v>
      </c>
      <c r="S238" s="116">
        <f t="shared" si="237"/>
        <v>0</v>
      </c>
      <c r="T238" s="116">
        <f t="shared" si="237"/>
        <v>0</v>
      </c>
      <c r="U238" s="116">
        <f t="shared" si="237"/>
        <v>0</v>
      </c>
      <c r="V238" s="116">
        <f t="shared" si="237"/>
        <v>0</v>
      </c>
      <c r="W238" s="116">
        <f t="shared" si="237"/>
        <v>0</v>
      </c>
      <c r="X238" s="116">
        <f t="shared" si="237"/>
        <v>0</v>
      </c>
      <c r="Y238" s="116">
        <f t="shared" si="237"/>
        <v>0</v>
      </c>
      <c r="Z238" s="116">
        <f t="shared" si="237"/>
        <v>0</v>
      </c>
      <c r="AA238" s="116">
        <f t="shared" si="237"/>
        <v>0</v>
      </c>
      <c r="AB238" s="116">
        <f t="shared" si="237"/>
        <v>0</v>
      </c>
      <c r="AC238" s="116">
        <f t="shared" si="237"/>
        <v>0</v>
      </c>
      <c r="AD238" s="116">
        <f t="shared" si="237"/>
        <v>0</v>
      </c>
      <c r="AE238" s="116">
        <f t="shared" si="237"/>
        <v>0</v>
      </c>
      <c r="AF238" s="116">
        <f t="shared" si="237"/>
        <v>0</v>
      </c>
      <c r="AG238" s="116">
        <f t="shared" si="237"/>
        <v>0</v>
      </c>
      <c r="AH238" s="116">
        <f t="shared" si="237"/>
        <v>0</v>
      </c>
      <c r="AI238" s="116">
        <f t="shared" si="237"/>
        <v>0</v>
      </c>
      <c r="AJ238" s="116">
        <f t="shared" si="237"/>
        <v>0</v>
      </c>
      <c r="AK238" s="116">
        <f t="shared" si="237"/>
        <v>0</v>
      </c>
      <c r="AL238" s="116">
        <f t="shared" si="237"/>
        <v>0</v>
      </c>
      <c r="AM238" s="116">
        <f t="shared" si="237"/>
        <v>0</v>
      </c>
      <c r="AN238" s="116">
        <f t="shared" si="237"/>
        <v>0</v>
      </c>
      <c r="AO238" s="116">
        <f t="shared" si="237"/>
        <v>0</v>
      </c>
      <c r="AP238" s="116">
        <f t="shared" si="237"/>
        <v>0</v>
      </c>
      <c r="AQ238" s="116">
        <f>AQ239+AQ252</f>
        <v>95475</v>
      </c>
      <c r="AR238" s="116">
        <f t="shared" si="237"/>
        <v>0</v>
      </c>
      <c r="AS238" s="116">
        <f t="shared" si="237"/>
        <v>95539</v>
      </c>
      <c r="AT238" s="116">
        <f>AT239+AT252</f>
        <v>95475</v>
      </c>
      <c r="AU238" s="303"/>
      <c r="AV238" s="303"/>
      <c r="AW238" s="304"/>
      <c r="AX238" s="305">
        <f>AT237+724</f>
        <v>256994.3</v>
      </c>
      <c r="BC238" s="307"/>
    </row>
    <row r="239" spans="1:55" s="300" customFormat="1" ht="29.25" customHeight="1" x14ac:dyDescent="0.25">
      <c r="A239" s="274" t="s">
        <v>100</v>
      </c>
      <c r="B239" s="275" t="s">
        <v>579</v>
      </c>
      <c r="C239" s="296"/>
      <c r="D239" s="296"/>
      <c r="E239" s="296"/>
      <c r="F239" s="296"/>
      <c r="G239" s="38">
        <f t="shared" ref="G239:AS239" si="238">SUM(G241:G251)</f>
        <v>79246</v>
      </c>
      <c r="H239" s="38">
        <f t="shared" si="238"/>
        <v>78958</v>
      </c>
      <c r="I239" s="38">
        <f t="shared" si="238"/>
        <v>0</v>
      </c>
      <c r="J239" s="38">
        <f t="shared" si="238"/>
        <v>0</v>
      </c>
      <c r="K239" s="38">
        <f t="shared" si="238"/>
        <v>0</v>
      </c>
      <c r="L239" s="38">
        <f t="shared" si="238"/>
        <v>0</v>
      </c>
      <c r="M239" s="38">
        <f t="shared" si="238"/>
        <v>0</v>
      </c>
      <c r="N239" s="38">
        <f t="shared" si="238"/>
        <v>0</v>
      </c>
      <c r="O239" s="38">
        <f t="shared" si="238"/>
        <v>0</v>
      </c>
      <c r="P239" s="38">
        <f t="shared" si="238"/>
        <v>0</v>
      </c>
      <c r="Q239" s="38">
        <f t="shared" si="238"/>
        <v>0</v>
      </c>
      <c r="R239" s="38">
        <f t="shared" si="238"/>
        <v>0</v>
      </c>
      <c r="S239" s="38">
        <f t="shared" si="238"/>
        <v>0</v>
      </c>
      <c r="T239" s="38">
        <f t="shared" si="238"/>
        <v>0</v>
      </c>
      <c r="U239" s="38">
        <f t="shared" si="238"/>
        <v>0</v>
      </c>
      <c r="V239" s="38">
        <f t="shared" si="238"/>
        <v>0</v>
      </c>
      <c r="W239" s="38">
        <f t="shared" si="238"/>
        <v>0</v>
      </c>
      <c r="X239" s="38">
        <f t="shared" si="238"/>
        <v>0</v>
      </c>
      <c r="Y239" s="38">
        <f t="shared" si="238"/>
        <v>0</v>
      </c>
      <c r="Z239" s="38">
        <f t="shared" si="238"/>
        <v>0</v>
      </c>
      <c r="AA239" s="38">
        <f t="shared" si="238"/>
        <v>0</v>
      </c>
      <c r="AB239" s="38">
        <f t="shared" si="238"/>
        <v>0</v>
      </c>
      <c r="AC239" s="38">
        <f t="shared" si="238"/>
        <v>0</v>
      </c>
      <c r="AD239" s="38">
        <f t="shared" si="238"/>
        <v>0</v>
      </c>
      <c r="AE239" s="38">
        <f t="shared" si="238"/>
        <v>0</v>
      </c>
      <c r="AF239" s="38">
        <f t="shared" si="238"/>
        <v>0</v>
      </c>
      <c r="AG239" s="38">
        <f t="shared" si="238"/>
        <v>0</v>
      </c>
      <c r="AH239" s="38">
        <f t="shared" si="238"/>
        <v>0</v>
      </c>
      <c r="AI239" s="38">
        <f t="shared" si="238"/>
        <v>0</v>
      </c>
      <c r="AJ239" s="38">
        <f t="shared" si="238"/>
        <v>0</v>
      </c>
      <c r="AK239" s="38">
        <f t="shared" si="238"/>
        <v>0</v>
      </c>
      <c r="AL239" s="38">
        <f t="shared" si="238"/>
        <v>0</v>
      </c>
      <c r="AM239" s="38">
        <f t="shared" si="238"/>
        <v>0</v>
      </c>
      <c r="AN239" s="38">
        <f t="shared" si="238"/>
        <v>0</v>
      </c>
      <c r="AO239" s="38">
        <f t="shared" si="238"/>
        <v>0</v>
      </c>
      <c r="AP239" s="38">
        <f t="shared" si="238"/>
        <v>0</v>
      </c>
      <c r="AQ239" s="38">
        <f t="shared" si="238"/>
        <v>73950</v>
      </c>
      <c r="AR239" s="38">
        <f t="shared" si="238"/>
        <v>0</v>
      </c>
      <c r="AS239" s="38">
        <f t="shared" si="238"/>
        <v>74014</v>
      </c>
      <c r="AT239" s="38">
        <f>SUM(AT241:AT251)</f>
        <v>73950</v>
      </c>
      <c r="AU239" s="297"/>
      <c r="AV239" s="297"/>
      <c r="AW239" s="298"/>
      <c r="AX239" s="299"/>
      <c r="BC239" s="301"/>
    </row>
    <row r="240" spans="1:55" s="306" customFormat="1" ht="29.25" customHeight="1" x14ac:dyDescent="0.25">
      <c r="A240" s="276"/>
      <c r="B240" s="277" t="s">
        <v>580</v>
      </c>
      <c r="C240" s="302"/>
      <c r="D240" s="302"/>
      <c r="E240" s="302"/>
      <c r="F240" s="302"/>
      <c r="G240" s="308"/>
      <c r="H240" s="308"/>
      <c r="I240" s="309"/>
      <c r="J240" s="309"/>
      <c r="K240" s="309"/>
      <c r="L240" s="309"/>
      <c r="M240" s="309"/>
      <c r="N240" s="309"/>
      <c r="O240" s="309"/>
      <c r="P240" s="309"/>
      <c r="Q240" s="309"/>
      <c r="R240" s="309"/>
      <c r="S240" s="309"/>
      <c r="T240" s="309"/>
      <c r="U240" s="309"/>
      <c r="V240" s="309"/>
      <c r="W240" s="309"/>
      <c r="X240" s="308"/>
      <c r="Y240" s="308"/>
      <c r="Z240" s="309"/>
      <c r="AA240" s="309"/>
      <c r="AB240" s="309"/>
      <c r="AC240" s="309"/>
      <c r="AD240" s="309"/>
      <c r="AE240" s="309"/>
      <c r="AF240" s="309"/>
      <c r="AG240" s="309"/>
      <c r="AH240" s="309"/>
      <c r="AI240" s="309"/>
      <c r="AJ240" s="309"/>
      <c r="AK240" s="309"/>
      <c r="AL240" s="309"/>
      <c r="AM240" s="309"/>
      <c r="AN240" s="309"/>
      <c r="AO240" s="309"/>
      <c r="AP240" s="309"/>
      <c r="AQ240" s="110"/>
      <c r="AR240" s="309"/>
      <c r="AS240" s="110"/>
      <c r="AT240" s="110"/>
      <c r="AU240" s="303"/>
      <c r="AV240" s="303"/>
      <c r="AW240" s="304"/>
      <c r="AX240" s="305"/>
      <c r="BC240" s="307"/>
    </row>
    <row r="241" spans="1:55" s="294" customFormat="1" ht="78.75" x14ac:dyDescent="0.25">
      <c r="A241" s="280">
        <v>1</v>
      </c>
      <c r="B241" s="74" t="s">
        <v>581</v>
      </c>
      <c r="C241" s="288" t="s">
        <v>38</v>
      </c>
      <c r="D241" s="288"/>
      <c r="E241" s="288" t="s">
        <v>61</v>
      </c>
      <c r="F241" s="288"/>
      <c r="G241" s="310">
        <v>14990</v>
      </c>
      <c r="H241" s="310">
        <v>14965</v>
      </c>
      <c r="I241" s="311"/>
      <c r="J241" s="311"/>
      <c r="K241" s="311"/>
      <c r="L241" s="311"/>
      <c r="M241" s="311"/>
      <c r="N241" s="311"/>
      <c r="O241" s="311"/>
      <c r="P241" s="311"/>
      <c r="Q241" s="311"/>
      <c r="R241" s="311"/>
      <c r="S241" s="311"/>
      <c r="T241" s="311"/>
      <c r="U241" s="311"/>
      <c r="V241" s="311"/>
      <c r="W241" s="311"/>
      <c r="X241" s="310"/>
      <c r="Y241" s="310"/>
      <c r="Z241" s="311"/>
      <c r="AA241" s="311"/>
      <c r="AB241" s="311"/>
      <c r="AC241" s="311"/>
      <c r="AD241" s="311"/>
      <c r="AE241" s="311"/>
      <c r="AF241" s="311"/>
      <c r="AG241" s="311"/>
      <c r="AH241" s="311"/>
      <c r="AI241" s="311"/>
      <c r="AJ241" s="311"/>
      <c r="AK241" s="311"/>
      <c r="AL241" s="311"/>
      <c r="AM241" s="311"/>
      <c r="AN241" s="311"/>
      <c r="AO241" s="311"/>
      <c r="AP241" s="311"/>
      <c r="AQ241" s="109">
        <v>14965</v>
      </c>
      <c r="AR241" s="311"/>
      <c r="AS241" s="109">
        <v>14990</v>
      </c>
      <c r="AT241" s="109">
        <v>14965</v>
      </c>
      <c r="AU241" s="290"/>
      <c r="AV241" s="290"/>
      <c r="AW241" s="292"/>
      <c r="AX241" s="293"/>
      <c r="BC241" s="295"/>
    </row>
    <row r="242" spans="1:55" s="294" customFormat="1" ht="30" x14ac:dyDescent="0.25">
      <c r="A242" s="280">
        <v>2</v>
      </c>
      <c r="B242" s="74" t="s">
        <v>582</v>
      </c>
      <c r="C242" s="288" t="s">
        <v>618</v>
      </c>
      <c r="D242" s="288"/>
      <c r="E242" s="288" t="s">
        <v>61</v>
      </c>
      <c r="F242" s="288"/>
      <c r="G242" s="310">
        <v>1660</v>
      </c>
      <c r="H242" s="310">
        <v>1640</v>
      </c>
      <c r="I242" s="311"/>
      <c r="J242" s="311"/>
      <c r="K242" s="311"/>
      <c r="L242" s="311"/>
      <c r="M242" s="311"/>
      <c r="N242" s="311"/>
      <c r="O242" s="311"/>
      <c r="P242" s="311"/>
      <c r="Q242" s="311"/>
      <c r="R242" s="311"/>
      <c r="S242" s="311"/>
      <c r="T242" s="311"/>
      <c r="U242" s="311"/>
      <c r="V242" s="311"/>
      <c r="W242" s="311"/>
      <c r="X242" s="310"/>
      <c r="Y242" s="310"/>
      <c r="Z242" s="311"/>
      <c r="AA242" s="311"/>
      <c r="AB242" s="311"/>
      <c r="AC242" s="311"/>
      <c r="AD242" s="311"/>
      <c r="AE242" s="311"/>
      <c r="AF242" s="311"/>
      <c r="AG242" s="311"/>
      <c r="AH242" s="311"/>
      <c r="AI242" s="311"/>
      <c r="AJ242" s="311"/>
      <c r="AK242" s="311"/>
      <c r="AL242" s="311"/>
      <c r="AM242" s="311"/>
      <c r="AN242" s="311"/>
      <c r="AO242" s="311"/>
      <c r="AP242" s="311"/>
      <c r="AQ242" s="109">
        <v>1640</v>
      </c>
      <c r="AR242" s="311"/>
      <c r="AS242" s="109">
        <v>1640</v>
      </c>
      <c r="AT242" s="109">
        <v>1640</v>
      </c>
      <c r="AU242" s="290"/>
      <c r="AV242" s="290"/>
      <c r="AW242" s="292"/>
      <c r="AX242" s="293"/>
      <c r="BC242" s="295"/>
    </row>
    <row r="243" spans="1:55" s="294" customFormat="1" ht="30" x14ac:dyDescent="0.25">
      <c r="A243" s="280">
        <v>3</v>
      </c>
      <c r="B243" s="74" t="s">
        <v>583</v>
      </c>
      <c r="C243" s="288" t="s">
        <v>618</v>
      </c>
      <c r="D243" s="288"/>
      <c r="E243" s="288" t="s">
        <v>61</v>
      </c>
      <c r="F243" s="288"/>
      <c r="G243" s="310">
        <v>1660</v>
      </c>
      <c r="H243" s="310">
        <v>1640</v>
      </c>
      <c r="I243" s="311"/>
      <c r="J243" s="311"/>
      <c r="K243" s="311"/>
      <c r="L243" s="311"/>
      <c r="M243" s="311"/>
      <c r="N243" s="311"/>
      <c r="O243" s="311"/>
      <c r="P243" s="311"/>
      <c r="Q243" s="311"/>
      <c r="R243" s="311"/>
      <c r="S243" s="311"/>
      <c r="T243" s="311"/>
      <c r="U243" s="311"/>
      <c r="V243" s="311"/>
      <c r="W243" s="311"/>
      <c r="X243" s="310"/>
      <c r="Y243" s="310"/>
      <c r="Z243" s="311"/>
      <c r="AA243" s="311"/>
      <c r="AB243" s="311"/>
      <c r="AC243" s="311"/>
      <c r="AD243" s="311"/>
      <c r="AE243" s="311"/>
      <c r="AF243" s="311"/>
      <c r="AG243" s="311"/>
      <c r="AH243" s="311"/>
      <c r="AI243" s="311"/>
      <c r="AJ243" s="311"/>
      <c r="AK243" s="311"/>
      <c r="AL243" s="311"/>
      <c r="AM243" s="311"/>
      <c r="AN243" s="311"/>
      <c r="AO243" s="311"/>
      <c r="AP243" s="311"/>
      <c r="AQ243" s="109">
        <v>1640</v>
      </c>
      <c r="AR243" s="311"/>
      <c r="AS243" s="109">
        <v>1640</v>
      </c>
      <c r="AT243" s="109">
        <v>1640</v>
      </c>
      <c r="AU243" s="290"/>
      <c r="AV243" s="290"/>
      <c r="AW243" s="292"/>
      <c r="AX243" s="293"/>
      <c r="BC243" s="295"/>
    </row>
    <row r="244" spans="1:55" s="294" customFormat="1" ht="30" x14ac:dyDescent="0.25">
      <c r="A244" s="280">
        <v>4</v>
      </c>
      <c r="B244" s="74" t="s">
        <v>584</v>
      </c>
      <c r="C244" s="288" t="s">
        <v>618</v>
      </c>
      <c r="D244" s="288"/>
      <c r="E244" s="288" t="s">
        <v>61</v>
      </c>
      <c r="F244" s="288"/>
      <c r="G244" s="310">
        <v>1660</v>
      </c>
      <c r="H244" s="310">
        <v>1640</v>
      </c>
      <c r="I244" s="311"/>
      <c r="J244" s="311"/>
      <c r="K244" s="311"/>
      <c r="L244" s="311"/>
      <c r="M244" s="311"/>
      <c r="N244" s="311"/>
      <c r="O244" s="311"/>
      <c r="P244" s="311"/>
      <c r="Q244" s="311"/>
      <c r="R244" s="311"/>
      <c r="S244" s="311"/>
      <c r="T244" s="311"/>
      <c r="U244" s="311"/>
      <c r="V244" s="311"/>
      <c r="W244" s="311"/>
      <c r="X244" s="310"/>
      <c r="Y244" s="310"/>
      <c r="Z244" s="311"/>
      <c r="AA244" s="311"/>
      <c r="AB244" s="311"/>
      <c r="AC244" s="311"/>
      <c r="AD244" s="311"/>
      <c r="AE244" s="311"/>
      <c r="AF244" s="311"/>
      <c r="AG244" s="311"/>
      <c r="AH244" s="311"/>
      <c r="AI244" s="311"/>
      <c r="AJ244" s="311"/>
      <c r="AK244" s="311"/>
      <c r="AL244" s="311"/>
      <c r="AM244" s="311"/>
      <c r="AN244" s="311"/>
      <c r="AO244" s="311"/>
      <c r="AP244" s="311"/>
      <c r="AQ244" s="109">
        <v>1640</v>
      </c>
      <c r="AR244" s="311"/>
      <c r="AS244" s="109">
        <v>1640</v>
      </c>
      <c r="AT244" s="109">
        <v>1640</v>
      </c>
      <c r="AU244" s="290"/>
      <c r="AV244" s="290"/>
      <c r="AW244" s="292"/>
      <c r="AX244" s="293"/>
      <c r="BC244" s="295"/>
    </row>
    <row r="245" spans="1:55" s="294" customFormat="1" ht="30" x14ac:dyDescent="0.25">
      <c r="A245" s="280">
        <v>5</v>
      </c>
      <c r="B245" s="74" t="s">
        <v>585</v>
      </c>
      <c r="C245" s="288" t="s">
        <v>618</v>
      </c>
      <c r="D245" s="288"/>
      <c r="E245" s="288" t="s">
        <v>61</v>
      </c>
      <c r="F245" s="288"/>
      <c r="G245" s="310">
        <v>1660</v>
      </c>
      <c r="H245" s="310">
        <v>1640</v>
      </c>
      <c r="I245" s="311"/>
      <c r="J245" s="311"/>
      <c r="K245" s="311"/>
      <c r="L245" s="311"/>
      <c r="M245" s="311"/>
      <c r="N245" s="311"/>
      <c r="O245" s="311"/>
      <c r="P245" s="311"/>
      <c r="Q245" s="311"/>
      <c r="R245" s="311"/>
      <c r="S245" s="311"/>
      <c r="T245" s="311"/>
      <c r="U245" s="311"/>
      <c r="V245" s="311"/>
      <c r="W245" s="311"/>
      <c r="X245" s="310"/>
      <c r="Y245" s="310"/>
      <c r="Z245" s="311"/>
      <c r="AA245" s="311"/>
      <c r="AB245" s="311"/>
      <c r="AC245" s="311"/>
      <c r="AD245" s="311"/>
      <c r="AE245" s="311"/>
      <c r="AF245" s="311"/>
      <c r="AG245" s="311"/>
      <c r="AH245" s="311"/>
      <c r="AI245" s="311"/>
      <c r="AJ245" s="311"/>
      <c r="AK245" s="311"/>
      <c r="AL245" s="311"/>
      <c r="AM245" s="311"/>
      <c r="AN245" s="311"/>
      <c r="AO245" s="311"/>
      <c r="AP245" s="311"/>
      <c r="AQ245" s="109">
        <v>1640</v>
      </c>
      <c r="AR245" s="311"/>
      <c r="AS245" s="109">
        <v>1640</v>
      </c>
      <c r="AT245" s="109">
        <v>1640</v>
      </c>
      <c r="AU245" s="290"/>
      <c r="AV245" s="290"/>
      <c r="AW245" s="292"/>
      <c r="AX245" s="293"/>
      <c r="BC245" s="295"/>
    </row>
    <row r="246" spans="1:55" s="294" customFormat="1" ht="39.75" customHeight="1" x14ac:dyDescent="0.25">
      <c r="A246" s="280">
        <v>6</v>
      </c>
      <c r="B246" s="74" t="s">
        <v>586</v>
      </c>
      <c r="C246" s="288" t="s">
        <v>618</v>
      </c>
      <c r="D246" s="288"/>
      <c r="E246" s="288" t="s">
        <v>61</v>
      </c>
      <c r="F246" s="288"/>
      <c r="G246" s="310">
        <v>5500</v>
      </c>
      <c r="H246" s="310">
        <v>5461</v>
      </c>
      <c r="I246" s="311"/>
      <c r="J246" s="311"/>
      <c r="K246" s="311"/>
      <c r="L246" s="311"/>
      <c r="M246" s="311"/>
      <c r="N246" s="311"/>
      <c r="O246" s="311"/>
      <c r="P246" s="311"/>
      <c r="Q246" s="311"/>
      <c r="R246" s="311"/>
      <c r="S246" s="311"/>
      <c r="T246" s="311"/>
      <c r="U246" s="311"/>
      <c r="V246" s="311"/>
      <c r="W246" s="311"/>
      <c r="X246" s="310"/>
      <c r="Y246" s="310"/>
      <c r="Z246" s="311"/>
      <c r="AA246" s="311"/>
      <c r="AB246" s="311"/>
      <c r="AC246" s="311"/>
      <c r="AD246" s="311"/>
      <c r="AE246" s="311"/>
      <c r="AF246" s="311"/>
      <c r="AG246" s="311"/>
      <c r="AH246" s="311"/>
      <c r="AI246" s="311"/>
      <c r="AJ246" s="311"/>
      <c r="AK246" s="311"/>
      <c r="AL246" s="311"/>
      <c r="AM246" s="311"/>
      <c r="AN246" s="311"/>
      <c r="AO246" s="311"/>
      <c r="AP246" s="311"/>
      <c r="AQ246" s="109">
        <v>5461</v>
      </c>
      <c r="AR246" s="311"/>
      <c r="AS246" s="109">
        <v>5500</v>
      </c>
      <c r="AT246" s="109">
        <v>5461</v>
      </c>
      <c r="AU246" s="290"/>
      <c r="AV246" s="290"/>
      <c r="AW246" s="292"/>
      <c r="AX246" s="293"/>
      <c r="BC246" s="295"/>
    </row>
    <row r="247" spans="1:55" s="294" customFormat="1" ht="45" x14ac:dyDescent="0.25">
      <c r="A247" s="280">
        <v>7</v>
      </c>
      <c r="B247" s="74" t="s">
        <v>587</v>
      </c>
      <c r="C247" s="288" t="s">
        <v>618</v>
      </c>
      <c r="D247" s="288"/>
      <c r="E247" s="288" t="s">
        <v>52</v>
      </c>
      <c r="F247" s="288" t="s">
        <v>619</v>
      </c>
      <c r="G247" s="310">
        <v>4050</v>
      </c>
      <c r="H247" s="310">
        <v>4000</v>
      </c>
      <c r="I247" s="311"/>
      <c r="J247" s="311"/>
      <c r="K247" s="311"/>
      <c r="L247" s="311"/>
      <c r="M247" s="311"/>
      <c r="N247" s="311"/>
      <c r="O247" s="311"/>
      <c r="P247" s="311"/>
      <c r="Q247" s="311"/>
      <c r="R247" s="311"/>
      <c r="S247" s="311"/>
      <c r="T247" s="311"/>
      <c r="U247" s="311"/>
      <c r="V247" s="311"/>
      <c r="W247" s="311"/>
      <c r="X247" s="310"/>
      <c r="Y247" s="310"/>
      <c r="Z247" s="311"/>
      <c r="AA247" s="311"/>
      <c r="AB247" s="311"/>
      <c r="AC247" s="311"/>
      <c r="AD247" s="311"/>
      <c r="AE247" s="311"/>
      <c r="AF247" s="311"/>
      <c r="AG247" s="311"/>
      <c r="AH247" s="311"/>
      <c r="AI247" s="311"/>
      <c r="AJ247" s="311"/>
      <c r="AK247" s="311"/>
      <c r="AL247" s="311"/>
      <c r="AM247" s="311"/>
      <c r="AN247" s="311"/>
      <c r="AO247" s="311"/>
      <c r="AP247" s="311"/>
      <c r="AQ247" s="109">
        <v>4000</v>
      </c>
      <c r="AR247" s="311"/>
      <c r="AS247" s="109">
        <v>4000</v>
      </c>
      <c r="AT247" s="109">
        <v>4000</v>
      </c>
      <c r="AU247" s="290"/>
      <c r="AV247" s="290"/>
      <c r="AW247" s="292"/>
      <c r="AX247" s="293"/>
      <c r="BC247" s="295"/>
    </row>
    <row r="248" spans="1:55" s="294" customFormat="1" ht="45" x14ac:dyDescent="0.25">
      <c r="A248" s="280">
        <v>8</v>
      </c>
      <c r="B248" s="74" t="s">
        <v>588</v>
      </c>
      <c r="C248" s="288" t="s">
        <v>620</v>
      </c>
      <c r="D248" s="288"/>
      <c r="E248" s="288" t="s">
        <v>61</v>
      </c>
      <c r="F248" s="288" t="s">
        <v>621</v>
      </c>
      <c r="G248" s="310">
        <v>13280</v>
      </c>
      <c r="H248" s="310">
        <v>13246</v>
      </c>
      <c r="I248" s="311"/>
      <c r="J248" s="311"/>
      <c r="K248" s="311"/>
      <c r="L248" s="311"/>
      <c r="M248" s="311"/>
      <c r="N248" s="311"/>
      <c r="O248" s="311"/>
      <c r="P248" s="311"/>
      <c r="Q248" s="311"/>
      <c r="R248" s="311"/>
      <c r="S248" s="311"/>
      <c r="T248" s="311"/>
      <c r="U248" s="311"/>
      <c r="V248" s="311"/>
      <c r="W248" s="311"/>
      <c r="X248" s="310"/>
      <c r="Y248" s="310"/>
      <c r="Z248" s="311"/>
      <c r="AA248" s="311"/>
      <c r="AB248" s="311"/>
      <c r="AC248" s="311"/>
      <c r="AD248" s="311"/>
      <c r="AE248" s="311"/>
      <c r="AF248" s="311"/>
      <c r="AG248" s="311"/>
      <c r="AH248" s="311"/>
      <c r="AI248" s="311"/>
      <c r="AJ248" s="311"/>
      <c r="AK248" s="311"/>
      <c r="AL248" s="311"/>
      <c r="AM248" s="311"/>
      <c r="AN248" s="311"/>
      <c r="AO248" s="311"/>
      <c r="AP248" s="311"/>
      <c r="AQ248" s="109">
        <v>13246</v>
      </c>
      <c r="AR248" s="311"/>
      <c r="AS248" s="109">
        <v>13246</v>
      </c>
      <c r="AT248" s="109">
        <v>13246</v>
      </c>
      <c r="AU248" s="290"/>
      <c r="AV248" s="290"/>
      <c r="AW248" s="292"/>
      <c r="AX248" s="293"/>
      <c r="BC248" s="295"/>
    </row>
    <row r="249" spans="1:55" s="294" customFormat="1" ht="47.25" x14ac:dyDescent="0.25">
      <c r="A249" s="280">
        <v>9</v>
      </c>
      <c r="B249" s="74" t="s">
        <v>589</v>
      </c>
      <c r="C249" s="288" t="s">
        <v>622</v>
      </c>
      <c r="D249" s="288"/>
      <c r="E249" s="288" t="s">
        <v>61</v>
      </c>
      <c r="F249" s="288"/>
      <c r="G249" s="310">
        <v>14233</v>
      </c>
      <c r="H249" s="310">
        <v>14213</v>
      </c>
      <c r="I249" s="311"/>
      <c r="J249" s="311"/>
      <c r="K249" s="311"/>
      <c r="L249" s="311"/>
      <c r="M249" s="311"/>
      <c r="N249" s="311"/>
      <c r="O249" s="311"/>
      <c r="P249" s="311"/>
      <c r="Q249" s="311"/>
      <c r="R249" s="311"/>
      <c r="S249" s="311"/>
      <c r="T249" s="311"/>
      <c r="U249" s="311"/>
      <c r="V249" s="311"/>
      <c r="W249" s="311"/>
      <c r="X249" s="310"/>
      <c r="Y249" s="310"/>
      <c r="Z249" s="311"/>
      <c r="AA249" s="311"/>
      <c r="AB249" s="311"/>
      <c r="AC249" s="311"/>
      <c r="AD249" s="311"/>
      <c r="AE249" s="311"/>
      <c r="AF249" s="311"/>
      <c r="AG249" s="311"/>
      <c r="AH249" s="311"/>
      <c r="AI249" s="311"/>
      <c r="AJ249" s="311"/>
      <c r="AK249" s="311"/>
      <c r="AL249" s="311"/>
      <c r="AM249" s="311"/>
      <c r="AN249" s="311"/>
      <c r="AO249" s="311"/>
      <c r="AP249" s="311"/>
      <c r="AQ249" s="109">
        <v>14213</v>
      </c>
      <c r="AR249" s="311"/>
      <c r="AS249" s="109">
        <v>14213</v>
      </c>
      <c r="AT249" s="109">
        <v>14213</v>
      </c>
      <c r="AU249" s="290"/>
      <c r="AV249" s="290"/>
      <c r="AW249" s="292"/>
      <c r="AX249" s="293"/>
      <c r="BC249" s="295"/>
    </row>
    <row r="250" spans="1:55" s="294" customFormat="1" ht="45" x14ac:dyDescent="0.25">
      <c r="A250" s="280">
        <v>10</v>
      </c>
      <c r="B250" s="74" t="s">
        <v>590</v>
      </c>
      <c r="C250" s="288" t="s">
        <v>623</v>
      </c>
      <c r="D250" s="288"/>
      <c r="E250" s="288" t="s">
        <v>61</v>
      </c>
      <c r="F250" s="288" t="s">
        <v>624</v>
      </c>
      <c r="G250" s="310">
        <v>5563</v>
      </c>
      <c r="H250" s="310">
        <v>5543</v>
      </c>
      <c r="I250" s="311"/>
      <c r="J250" s="311"/>
      <c r="K250" s="311"/>
      <c r="L250" s="311"/>
      <c r="M250" s="311"/>
      <c r="N250" s="311"/>
      <c r="O250" s="311"/>
      <c r="P250" s="311"/>
      <c r="Q250" s="311"/>
      <c r="R250" s="311"/>
      <c r="S250" s="311"/>
      <c r="T250" s="311"/>
      <c r="U250" s="311"/>
      <c r="V250" s="311"/>
      <c r="W250" s="311"/>
      <c r="X250" s="310"/>
      <c r="Y250" s="310"/>
      <c r="Z250" s="311"/>
      <c r="AA250" s="311"/>
      <c r="AB250" s="311"/>
      <c r="AC250" s="311"/>
      <c r="AD250" s="311"/>
      <c r="AE250" s="311"/>
      <c r="AF250" s="311"/>
      <c r="AG250" s="311"/>
      <c r="AH250" s="311"/>
      <c r="AI250" s="311"/>
      <c r="AJ250" s="311"/>
      <c r="AK250" s="311"/>
      <c r="AL250" s="311"/>
      <c r="AM250" s="311"/>
      <c r="AN250" s="311"/>
      <c r="AO250" s="311"/>
      <c r="AP250" s="311"/>
      <c r="AQ250" s="109">
        <v>535</v>
      </c>
      <c r="AR250" s="311"/>
      <c r="AS250" s="109">
        <v>535</v>
      </c>
      <c r="AT250" s="109">
        <v>535</v>
      </c>
      <c r="AU250" s="290"/>
      <c r="AV250" s="290"/>
      <c r="AW250" s="292"/>
      <c r="AX250" s="293"/>
      <c r="BC250" s="295"/>
    </row>
    <row r="251" spans="1:55" s="294" customFormat="1" ht="45" x14ac:dyDescent="0.25">
      <c r="A251" s="280">
        <v>11</v>
      </c>
      <c r="B251" s="74" t="s">
        <v>591</v>
      </c>
      <c r="C251" s="288" t="s">
        <v>623</v>
      </c>
      <c r="D251" s="288"/>
      <c r="E251" s="288" t="s">
        <v>61</v>
      </c>
      <c r="F251" s="288" t="s">
        <v>625</v>
      </c>
      <c r="G251" s="310">
        <v>14990</v>
      </c>
      <c r="H251" s="310">
        <v>14970</v>
      </c>
      <c r="I251" s="311"/>
      <c r="J251" s="311"/>
      <c r="K251" s="311"/>
      <c r="L251" s="311"/>
      <c r="M251" s="311"/>
      <c r="N251" s="311"/>
      <c r="O251" s="311"/>
      <c r="P251" s="311"/>
      <c r="Q251" s="311"/>
      <c r="R251" s="311"/>
      <c r="S251" s="311"/>
      <c r="T251" s="311"/>
      <c r="U251" s="311"/>
      <c r="V251" s="311"/>
      <c r="W251" s="311"/>
      <c r="X251" s="310"/>
      <c r="Y251" s="310"/>
      <c r="Z251" s="311"/>
      <c r="AA251" s="311"/>
      <c r="AB251" s="311"/>
      <c r="AC251" s="311"/>
      <c r="AD251" s="311"/>
      <c r="AE251" s="311"/>
      <c r="AF251" s="311"/>
      <c r="AG251" s="311"/>
      <c r="AH251" s="311"/>
      <c r="AI251" s="311"/>
      <c r="AJ251" s="311"/>
      <c r="AK251" s="311"/>
      <c r="AL251" s="311"/>
      <c r="AM251" s="311"/>
      <c r="AN251" s="311"/>
      <c r="AO251" s="311"/>
      <c r="AP251" s="311"/>
      <c r="AQ251" s="109">
        <v>14970</v>
      </c>
      <c r="AR251" s="311"/>
      <c r="AS251" s="109">
        <v>14970</v>
      </c>
      <c r="AT251" s="109">
        <v>14970</v>
      </c>
      <c r="AU251" s="290"/>
      <c r="AV251" s="290"/>
      <c r="AW251" s="292"/>
      <c r="AX251" s="293"/>
      <c r="BC251" s="295"/>
    </row>
    <row r="252" spans="1:55" s="300" customFormat="1" ht="29.25" customHeight="1" x14ac:dyDescent="0.25">
      <c r="A252" s="274" t="s">
        <v>102</v>
      </c>
      <c r="B252" s="275" t="s">
        <v>592</v>
      </c>
      <c r="C252" s="296"/>
      <c r="D252" s="296"/>
      <c r="E252" s="296"/>
      <c r="F252" s="296"/>
      <c r="G252" s="116">
        <f t="shared" ref="G252:AS252" si="239">SUM(G254:G256)</f>
        <v>21600</v>
      </c>
      <c r="H252" s="116">
        <f t="shared" si="239"/>
        <v>21525</v>
      </c>
      <c r="I252" s="116">
        <f t="shared" si="239"/>
        <v>0</v>
      </c>
      <c r="J252" s="116">
        <f t="shared" si="239"/>
        <v>0</v>
      </c>
      <c r="K252" s="116">
        <f t="shared" si="239"/>
        <v>0</v>
      </c>
      <c r="L252" s="116">
        <f t="shared" si="239"/>
        <v>0</v>
      </c>
      <c r="M252" s="116">
        <f t="shared" si="239"/>
        <v>0</v>
      </c>
      <c r="N252" s="116">
        <f t="shared" si="239"/>
        <v>0</v>
      </c>
      <c r="O252" s="116">
        <f t="shared" si="239"/>
        <v>0</v>
      </c>
      <c r="P252" s="116">
        <f t="shared" si="239"/>
        <v>0</v>
      </c>
      <c r="Q252" s="116">
        <f t="shared" si="239"/>
        <v>0</v>
      </c>
      <c r="R252" s="116">
        <f t="shared" si="239"/>
        <v>0</v>
      </c>
      <c r="S252" s="116">
        <f t="shared" si="239"/>
        <v>0</v>
      </c>
      <c r="T252" s="116">
        <f t="shared" si="239"/>
        <v>0</v>
      </c>
      <c r="U252" s="116">
        <f t="shared" si="239"/>
        <v>0</v>
      </c>
      <c r="V252" s="116">
        <f t="shared" si="239"/>
        <v>0</v>
      </c>
      <c r="W252" s="116">
        <f t="shared" si="239"/>
        <v>0</v>
      </c>
      <c r="X252" s="116">
        <f t="shared" si="239"/>
        <v>0</v>
      </c>
      <c r="Y252" s="116">
        <f t="shared" si="239"/>
        <v>0</v>
      </c>
      <c r="Z252" s="116">
        <f t="shared" si="239"/>
        <v>0</v>
      </c>
      <c r="AA252" s="116">
        <f t="shared" si="239"/>
        <v>0</v>
      </c>
      <c r="AB252" s="116">
        <f t="shared" si="239"/>
        <v>0</v>
      </c>
      <c r="AC252" s="116">
        <f t="shared" si="239"/>
        <v>0</v>
      </c>
      <c r="AD252" s="116">
        <f t="shared" si="239"/>
        <v>0</v>
      </c>
      <c r="AE252" s="116">
        <f t="shared" si="239"/>
        <v>0</v>
      </c>
      <c r="AF252" s="116">
        <f t="shared" si="239"/>
        <v>0</v>
      </c>
      <c r="AG252" s="116">
        <f t="shared" si="239"/>
        <v>0</v>
      </c>
      <c r="AH252" s="116">
        <f t="shared" si="239"/>
        <v>0</v>
      </c>
      <c r="AI252" s="116">
        <f t="shared" si="239"/>
        <v>0</v>
      </c>
      <c r="AJ252" s="116">
        <f t="shared" si="239"/>
        <v>0</v>
      </c>
      <c r="AK252" s="116">
        <f t="shared" si="239"/>
        <v>0</v>
      </c>
      <c r="AL252" s="116">
        <f t="shared" si="239"/>
        <v>0</v>
      </c>
      <c r="AM252" s="116">
        <f t="shared" si="239"/>
        <v>0</v>
      </c>
      <c r="AN252" s="116">
        <f t="shared" si="239"/>
        <v>0</v>
      </c>
      <c r="AO252" s="116">
        <f t="shared" si="239"/>
        <v>0</v>
      </c>
      <c r="AP252" s="116">
        <f t="shared" si="239"/>
        <v>0</v>
      </c>
      <c r="AQ252" s="116">
        <f t="shared" si="239"/>
        <v>21525</v>
      </c>
      <c r="AR252" s="116">
        <f t="shared" si="239"/>
        <v>0</v>
      </c>
      <c r="AS252" s="116">
        <f t="shared" si="239"/>
        <v>21525</v>
      </c>
      <c r="AT252" s="116">
        <f>SUM(AT254:AT256)</f>
        <v>21525</v>
      </c>
      <c r="AU252" s="297"/>
      <c r="AV252" s="297"/>
      <c r="AW252" s="298"/>
      <c r="AX252" s="293"/>
      <c r="BC252" s="301"/>
    </row>
    <row r="253" spans="1:55" s="306" customFormat="1" ht="29.25" customHeight="1" x14ac:dyDescent="0.25">
      <c r="A253" s="276"/>
      <c r="B253" s="277" t="s">
        <v>580</v>
      </c>
      <c r="C253" s="302"/>
      <c r="D253" s="302"/>
      <c r="E253" s="302"/>
      <c r="F253" s="302"/>
      <c r="G253" s="308"/>
      <c r="H253" s="308"/>
      <c r="I253" s="309"/>
      <c r="J253" s="309"/>
      <c r="K253" s="309"/>
      <c r="L253" s="309"/>
      <c r="M253" s="309"/>
      <c r="N253" s="309"/>
      <c r="O253" s="309"/>
      <c r="P253" s="309"/>
      <c r="Q253" s="309"/>
      <c r="R253" s="309"/>
      <c r="S253" s="309"/>
      <c r="T253" s="309"/>
      <c r="U253" s="309"/>
      <c r="V253" s="309"/>
      <c r="W253" s="309"/>
      <c r="X253" s="308"/>
      <c r="Y253" s="308"/>
      <c r="Z253" s="309"/>
      <c r="AA253" s="309"/>
      <c r="AB253" s="309"/>
      <c r="AC253" s="309"/>
      <c r="AD253" s="309"/>
      <c r="AE253" s="309"/>
      <c r="AF253" s="309"/>
      <c r="AG253" s="309"/>
      <c r="AH253" s="309"/>
      <c r="AI253" s="309"/>
      <c r="AJ253" s="309"/>
      <c r="AK253" s="309"/>
      <c r="AL253" s="309"/>
      <c r="AM253" s="309"/>
      <c r="AN253" s="309"/>
      <c r="AO253" s="309"/>
      <c r="AP253" s="309"/>
      <c r="AQ253" s="110"/>
      <c r="AR253" s="309"/>
      <c r="AS253" s="110"/>
      <c r="AT253" s="110"/>
      <c r="AU253" s="303"/>
      <c r="AV253" s="303"/>
      <c r="AW253" s="304"/>
      <c r="AX253" s="293"/>
      <c r="BC253" s="307"/>
    </row>
    <row r="254" spans="1:55" s="294" customFormat="1" ht="31.5" x14ac:dyDescent="0.25">
      <c r="A254" s="280">
        <v>1</v>
      </c>
      <c r="B254" s="74" t="s">
        <v>593</v>
      </c>
      <c r="C254" s="288" t="s">
        <v>626</v>
      </c>
      <c r="D254" s="288"/>
      <c r="E254" s="288">
        <v>2020</v>
      </c>
      <c r="F254" s="288"/>
      <c r="G254" s="310">
        <v>5520</v>
      </c>
      <c r="H254" s="310">
        <v>5500</v>
      </c>
      <c r="I254" s="311"/>
      <c r="J254" s="311"/>
      <c r="K254" s="311"/>
      <c r="L254" s="311"/>
      <c r="M254" s="311"/>
      <c r="N254" s="311"/>
      <c r="O254" s="311"/>
      <c r="P254" s="311"/>
      <c r="Q254" s="311"/>
      <c r="R254" s="311"/>
      <c r="S254" s="311"/>
      <c r="T254" s="311"/>
      <c r="U254" s="311"/>
      <c r="V254" s="311"/>
      <c r="W254" s="311"/>
      <c r="X254" s="310"/>
      <c r="Y254" s="310"/>
      <c r="Z254" s="311"/>
      <c r="AA254" s="311"/>
      <c r="AB254" s="311"/>
      <c r="AC254" s="311"/>
      <c r="AD254" s="311"/>
      <c r="AE254" s="311"/>
      <c r="AF254" s="311"/>
      <c r="AG254" s="311"/>
      <c r="AH254" s="311"/>
      <c r="AI254" s="311"/>
      <c r="AJ254" s="311"/>
      <c r="AK254" s="311"/>
      <c r="AL254" s="311"/>
      <c r="AM254" s="311"/>
      <c r="AN254" s="311"/>
      <c r="AO254" s="311"/>
      <c r="AP254" s="311"/>
      <c r="AQ254" s="109">
        <v>5500</v>
      </c>
      <c r="AR254" s="311"/>
      <c r="AS254" s="109">
        <v>5500</v>
      </c>
      <c r="AT254" s="109">
        <v>5500</v>
      </c>
      <c r="AU254" s="290"/>
      <c r="AV254" s="290"/>
      <c r="AW254" s="292"/>
      <c r="AX254" s="293"/>
      <c r="BC254" s="295"/>
    </row>
    <row r="255" spans="1:55" s="294" customFormat="1" ht="31.5" x14ac:dyDescent="0.25">
      <c r="A255" s="280">
        <v>2</v>
      </c>
      <c r="B255" s="74" t="s">
        <v>594</v>
      </c>
      <c r="C255" s="288" t="s">
        <v>626</v>
      </c>
      <c r="D255" s="288"/>
      <c r="E255" s="288">
        <v>2020</v>
      </c>
      <c r="F255" s="288" t="s">
        <v>627</v>
      </c>
      <c r="G255" s="310">
        <v>5012</v>
      </c>
      <c r="H255" s="310">
        <v>4991</v>
      </c>
      <c r="I255" s="311"/>
      <c r="J255" s="311"/>
      <c r="K255" s="311"/>
      <c r="L255" s="311"/>
      <c r="M255" s="311"/>
      <c r="N255" s="311"/>
      <c r="O255" s="311"/>
      <c r="P255" s="311"/>
      <c r="Q255" s="311"/>
      <c r="R255" s="311"/>
      <c r="S255" s="311"/>
      <c r="T255" s="311"/>
      <c r="U255" s="311"/>
      <c r="V255" s="311"/>
      <c r="W255" s="311"/>
      <c r="X255" s="310"/>
      <c r="Y255" s="310"/>
      <c r="Z255" s="311"/>
      <c r="AA255" s="311"/>
      <c r="AB255" s="311"/>
      <c r="AC255" s="311"/>
      <c r="AD255" s="311"/>
      <c r="AE255" s="311"/>
      <c r="AF255" s="311"/>
      <c r="AG255" s="311"/>
      <c r="AH255" s="311"/>
      <c r="AI255" s="311"/>
      <c r="AJ255" s="311"/>
      <c r="AK255" s="311"/>
      <c r="AL255" s="311"/>
      <c r="AM255" s="311"/>
      <c r="AN255" s="311"/>
      <c r="AO255" s="311"/>
      <c r="AP255" s="311"/>
      <c r="AQ255" s="109">
        <v>4991</v>
      </c>
      <c r="AR255" s="311"/>
      <c r="AS255" s="109">
        <v>4991</v>
      </c>
      <c r="AT255" s="109">
        <v>4991</v>
      </c>
      <c r="AU255" s="290"/>
      <c r="AV255" s="290"/>
      <c r="AW255" s="292"/>
      <c r="AX255" s="293"/>
      <c r="BC255" s="295"/>
    </row>
    <row r="256" spans="1:55" s="294" customFormat="1" ht="31.5" x14ac:dyDescent="0.25">
      <c r="A256" s="280">
        <v>3</v>
      </c>
      <c r="B256" s="74" t="s">
        <v>595</v>
      </c>
      <c r="C256" s="288" t="s">
        <v>60</v>
      </c>
      <c r="D256" s="288" t="s">
        <v>628</v>
      </c>
      <c r="E256" s="288" t="s">
        <v>52</v>
      </c>
      <c r="F256" s="288"/>
      <c r="G256" s="310">
        <v>11068</v>
      </c>
      <c r="H256" s="310">
        <v>11034</v>
      </c>
      <c r="I256" s="311"/>
      <c r="J256" s="311"/>
      <c r="K256" s="311"/>
      <c r="L256" s="311"/>
      <c r="M256" s="311"/>
      <c r="N256" s="311"/>
      <c r="O256" s="311"/>
      <c r="P256" s="311"/>
      <c r="Q256" s="311"/>
      <c r="R256" s="311"/>
      <c r="S256" s="311"/>
      <c r="T256" s="311"/>
      <c r="U256" s="311"/>
      <c r="V256" s="311"/>
      <c r="W256" s="311"/>
      <c r="X256" s="310"/>
      <c r="Y256" s="310"/>
      <c r="Z256" s="311"/>
      <c r="AA256" s="311"/>
      <c r="AB256" s="311"/>
      <c r="AC256" s="311"/>
      <c r="AD256" s="311"/>
      <c r="AE256" s="311"/>
      <c r="AF256" s="311"/>
      <c r="AG256" s="311"/>
      <c r="AH256" s="311"/>
      <c r="AI256" s="311"/>
      <c r="AJ256" s="311"/>
      <c r="AK256" s="311"/>
      <c r="AL256" s="311"/>
      <c r="AM256" s="311"/>
      <c r="AN256" s="311"/>
      <c r="AO256" s="311"/>
      <c r="AP256" s="311"/>
      <c r="AQ256" s="109">
        <v>11034</v>
      </c>
      <c r="AR256" s="311"/>
      <c r="AS256" s="109">
        <v>11034</v>
      </c>
      <c r="AT256" s="109">
        <v>11034</v>
      </c>
      <c r="AU256" s="290"/>
      <c r="AV256" s="290"/>
      <c r="AW256" s="292"/>
      <c r="AX256" s="293"/>
      <c r="BC256" s="295"/>
    </row>
    <row r="257" spans="1:55" s="294" customFormat="1" x14ac:dyDescent="0.25">
      <c r="A257" s="280"/>
      <c r="B257" s="74"/>
      <c r="C257" s="288"/>
      <c r="D257" s="288"/>
      <c r="E257" s="288"/>
      <c r="F257" s="288"/>
      <c r="G257" s="310"/>
      <c r="H257" s="310"/>
      <c r="I257" s="311"/>
      <c r="J257" s="311"/>
      <c r="K257" s="311"/>
      <c r="L257" s="311"/>
      <c r="M257" s="311"/>
      <c r="N257" s="311"/>
      <c r="O257" s="311"/>
      <c r="P257" s="311"/>
      <c r="Q257" s="311"/>
      <c r="R257" s="311"/>
      <c r="S257" s="311"/>
      <c r="T257" s="311"/>
      <c r="U257" s="311"/>
      <c r="V257" s="311"/>
      <c r="W257" s="311"/>
      <c r="X257" s="310"/>
      <c r="Y257" s="310"/>
      <c r="Z257" s="311"/>
      <c r="AA257" s="311"/>
      <c r="AB257" s="311"/>
      <c r="AC257" s="311"/>
      <c r="AD257" s="311"/>
      <c r="AE257" s="311"/>
      <c r="AF257" s="311"/>
      <c r="AG257" s="311"/>
      <c r="AH257" s="311"/>
      <c r="AI257" s="311"/>
      <c r="AJ257" s="311"/>
      <c r="AK257" s="311"/>
      <c r="AL257" s="311"/>
      <c r="AM257" s="311"/>
      <c r="AN257" s="311"/>
      <c r="AO257" s="311"/>
      <c r="AP257" s="311"/>
      <c r="AQ257" s="109"/>
      <c r="AR257" s="311"/>
      <c r="AS257" s="109"/>
      <c r="AT257" s="109"/>
      <c r="AU257" s="290"/>
      <c r="AV257" s="290"/>
      <c r="AW257" s="292"/>
      <c r="AX257" s="293"/>
      <c r="BC257" s="295"/>
    </row>
    <row r="258" spans="1:55" s="300" customFormat="1" ht="51" customHeight="1" x14ac:dyDescent="0.25">
      <c r="A258" s="276" t="s">
        <v>650</v>
      </c>
      <c r="B258" s="277" t="s">
        <v>596</v>
      </c>
      <c r="C258" s="302"/>
      <c r="D258" s="302"/>
      <c r="E258" s="302"/>
      <c r="F258" s="302"/>
      <c r="G258" s="38">
        <f>G259+G282</f>
        <v>473890</v>
      </c>
      <c r="H258" s="38">
        <f t="shared" ref="H258:AT258" si="240">H259+H282</f>
        <v>431312</v>
      </c>
      <c r="I258" s="38">
        <f t="shared" si="240"/>
        <v>0</v>
      </c>
      <c r="J258" s="38">
        <f t="shared" si="240"/>
        <v>0</v>
      </c>
      <c r="K258" s="38">
        <f t="shared" si="240"/>
        <v>0</v>
      </c>
      <c r="L258" s="38">
        <f t="shared" si="240"/>
        <v>0</v>
      </c>
      <c r="M258" s="38">
        <f t="shared" si="240"/>
        <v>0</v>
      </c>
      <c r="N258" s="38">
        <f t="shared" si="240"/>
        <v>2700</v>
      </c>
      <c r="O258" s="38">
        <f t="shared" si="240"/>
        <v>2700</v>
      </c>
      <c r="P258" s="38">
        <f t="shared" si="240"/>
        <v>0</v>
      </c>
      <c r="Q258" s="38">
        <f t="shared" si="240"/>
        <v>0</v>
      </c>
      <c r="R258" s="38">
        <f t="shared" si="240"/>
        <v>0</v>
      </c>
      <c r="S258" s="38">
        <f t="shared" si="240"/>
        <v>0</v>
      </c>
      <c r="T258" s="38">
        <f t="shared" si="240"/>
        <v>0</v>
      </c>
      <c r="U258" s="38">
        <f t="shared" si="240"/>
        <v>0</v>
      </c>
      <c r="V258" s="38">
        <f t="shared" si="240"/>
        <v>0</v>
      </c>
      <c r="W258" s="38">
        <f t="shared" si="240"/>
        <v>0</v>
      </c>
      <c r="X258" s="38">
        <f t="shared" si="240"/>
        <v>0</v>
      </c>
      <c r="Y258" s="38">
        <f t="shared" si="240"/>
        <v>0</v>
      </c>
      <c r="Z258" s="38">
        <f t="shared" si="240"/>
        <v>0</v>
      </c>
      <c r="AA258" s="38">
        <f t="shared" si="240"/>
        <v>0</v>
      </c>
      <c r="AB258" s="38">
        <f t="shared" si="240"/>
        <v>0</v>
      </c>
      <c r="AC258" s="38">
        <f t="shared" si="240"/>
        <v>0</v>
      </c>
      <c r="AD258" s="38">
        <f t="shared" si="240"/>
        <v>0</v>
      </c>
      <c r="AE258" s="38">
        <f t="shared" si="240"/>
        <v>0</v>
      </c>
      <c r="AF258" s="38">
        <f t="shared" si="240"/>
        <v>0</v>
      </c>
      <c r="AG258" s="38">
        <f t="shared" si="240"/>
        <v>0</v>
      </c>
      <c r="AH258" s="38">
        <f t="shared" si="240"/>
        <v>0</v>
      </c>
      <c r="AI258" s="38">
        <f t="shared" si="240"/>
        <v>0</v>
      </c>
      <c r="AJ258" s="38">
        <f t="shared" si="240"/>
        <v>0</v>
      </c>
      <c r="AK258" s="38">
        <f t="shared" si="240"/>
        <v>0</v>
      </c>
      <c r="AL258" s="38">
        <f t="shared" si="240"/>
        <v>0</v>
      </c>
      <c r="AM258" s="38">
        <f t="shared" si="240"/>
        <v>0</v>
      </c>
      <c r="AN258" s="38">
        <f t="shared" si="240"/>
        <v>0</v>
      </c>
      <c r="AO258" s="38">
        <f t="shared" si="240"/>
        <v>0</v>
      </c>
      <c r="AP258" s="38">
        <f t="shared" si="240"/>
        <v>0</v>
      </c>
      <c r="AQ258" s="38">
        <f t="shared" si="240"/>
        <v>160795.29999999999</v>
      </c>
      <c r="AR258" s="38">
        <f t="shared" si="240"/>
        <v>0</v>
      </c>
      <c r="AS258" s="38">
        <f t="shared" si="240"/>
        <v>180977.3</v>
      </c>
      <c r="AT258" s="116">
        <f t="shared" si="240"/>
        <v>160795.29999999999</v>
      </c>
      <c r="AU258" s="297"/>
      <c r="AV258" s="297"/>
      <c r="AW258" s="379">
        <f>AT258-111360</f>
        <v>49435.299999999988</v>
      </c>
      <c r="AX258" s="299">
        <f>164689-AT258</f>
        <v>3893.7000000000116</v>
      </c>
      <c r="BC258" s="301"/>
    </row>
    <row r="259" spans="1:55" s="410" customFormat="1" ht="29.25" customHeight="1" x14ac:dyDescent="0.25">
      <c r="A259" s="345"/>
      <c r="B259" s="279" t="s">
        <v>93</v>
      </c>
      <c r="C259" s="405"/>
      <c r="D259" s="405"/>
      <c r="E259" s="405"/>
      <c r="F259" s="405"/>
      <c r="G259" s="412">
        <f>G260+G262+G264+G275+G278</f>
        <v>437890</v>
      </c>
      <c r="H259" s="412">
        <f t="shared" ref="H259:AT259" si="241">H260+H262+H264+H275+H278</f>
        <v>400508</v>
      </c>
      <c r="I259" s="412">
        <f t="shared" si="241"/>
        <v>0</v>
      </c>
      <c r="J259" s="412">
        <f t="shared" si="241"/>
        <v>0</v>
      </c>
      <c r="K259" s="412">
        <f t="shared" si="241"/>
        <v>0</v>
      </c>
      <c r="L259" s="412">
        <f t="shared" si="241"/>
        <v>0</v>
      </c>
      <c r="M259" s="412">
        <f t="shared" si="241"/>
        <v>0</v>
      </c>
      <c r="N259" s="412">
        <f t="shared" si="241"/>
        <v>2700</v>
      </c>
      <c r="O259" s="412">
        <f t="shared" si="241"/>
        <v>2700</v>
      </c>
      <c r="P259" s="412">
        <f t="shared" si="241"/>
        <v>0</v>
      </c>
      <c r="Q259" s="412">
        <f t="shared" si="241"/>
        <v>0</v>
      </c>
      <c r="R259" s="412">
        <f t="shared" si="241"/>
        <v>0</v>
      </c>
      <c r="S259" s="412">
        <f t="shared" si="241"/>
        <v>0</v>
      </c>
      <c r="T259" s="412">
        <f t="shared" si="241"/>
        <v>0</v>
      </c>
      <c r="U259" s="412">
        <f t="shared" si="241"/>
        <v>0</v>
      </c>
      <c r="V259" s="412">
        <f t="shared" si="241"/>
        <v>0</v>
      </c>
      <c r="W259" s="412">
        <f t="shared" si="241"/>
        <v>0</v>
      </c>
      <c r="X259" s="412">
        <f t="shared" si="241"/>
        <v>0</v>
      </c>
      <c r="Y259" s="412">
        <f t="shared" si="241"/>
        <v>0</v>
      </c>
      <c r="Z259" s="412">
        <f t="shared" si="241"/>
        <v>0</v>
      </c>
      <c r="AA259" s="412">
        <f t="shared" si="241"/>
        <v>0</v>
      </c>
      <c r="AB259" s="412">
        <f t="shared" si="241"/>
        <v>0</v>
      </c>
      <c r="AC259" s="412">
        <f t="shared" si="241"/>
        <v>0</v>
      </c>
      <c r="AD259" s="412">
        <f t="shared" si="241"/>
        <v>0</v>
      </c>
      <c r="AE259" s="412">
        <f t="shared" si="241"/>
        <v>0</v>
      </c>
      <c r="AF259" s="412">
        <f t="shared" si="241"/>
        <v>0</v>
      </c>
      <c r="AG259" s="412">
        <f t="shared" si="241"/>
        <v>0</v>
      </c>
      <c r="AH259" s="412">
        <f t="shared" si="241"/>
        <v>0</v>
      </c>
      <c r="AI259" s="412">
        <f t="shared" si="241"/>
        <v>0</v>
      </c>
      <c r="AJ259" s="412">
        <f t="shared" si="241"/>
        <v>0</v>
      </c>
      <c r="AK259" s="412">
        <f t="shared" si="241"/>
        <v>0</v>
      </c>
      <c r="AL259" s="412">
        <f t="shared" si="241"/>
        <v>0</v>
      </c>
      <c r="AM259" s="412">
        <f t="shared" si="241"/>
        <v>0</v>
      </c>
      <c r="AN259" s="412">
        <f t="shared" si="241"/>
        <v>0</v>
      </c>
      <c r="AO259" s="412">
        <f t="shared" si="241"/>
        <v>0</v>
      </c>
      <c r="AP259" s="412">
        <f t="shared" si="241"/>
        <v>0</v>
      </c>
      <c r="AQ259" s="412">
        <f t="shared" si="241"/>
        <v>130095.3</v>
      </c>
      <c r="AR259" s="412">
        <f t="shared" si="241"/>
        <v>0</v>
      </c>
      <c r="AS259" s="412">
        <f t="shared" si="241"/>
        <v>142977.29999999999</v>
      </c>
      <c r="AT259" s="412">
        <f t="shared" si="241"/>
        <v>130095.3</v>
      </c>
      <c r="AU259" s="407"/>
      <c r="AV259" s="407"/>
      <c r="AW259" s="408"/>
      <c r="AX259" s="409"/>
      <c r="BC259" s="411"/>
    </row>
    <row r="260" spans="1:55" s="14" customFormat="1" ht="29.25" customHeight="1" x14ac:dyDescent="0.25">
      <c r="A260" s="276" t="s">
        <v>106</v>
      </c>
      <c r="B260" s="277" t="s">
        <v>62</v>
      </c>
      <c r="C260" s="5"/>
      <c r="D260" s="6"/>
      <c r="E260" s="196"/>
      <c r="F260" s="41"/>
      <c r="G260" s="38">
        <f t="shared" ref="G260:AS260" si="242">G261</f>
        <v>80000</v>
      </c>
      <c r="H260" s="38">
        <f t="shared" si="242"/>
        <v>57300</v>
      </c>
      <c r="I260" s="38">
        <f t="shared" si="242"/>
        <v>0</v>
      </c>
      <c r="J260" s="38">
        <f t="shared" si="242"/>
        <v>0</v>
      </c>
      <c r="K260" s="38">
        <f t="shared" si="242"/>
        <v>0</v>
      </c>
      <c r="L260" s="38">
        <f t="shared" si="242"/>
        <v>0</v>
      </c>
      <c r="M260" s="38">
        <f t="shared" si="242"/>
        <v>0</v>
      </c>
      <c r="N260" s="38">
        <f t="shared" si="242"/>
        <v>2700</v>
      </c>
      <c r="O260" s="38">
        <f t="shared" si="242"/>
        <v>2700</v>
      </c>
      <c r="P260" s="38">
        <f t="shared" si="242"/>
        <v>0</v>
      </c>
      <c r="Q260" s="38">
        <f t="shared" si="242"/>
        <v>0</v>
      </c>
      <c r="R260" s="38">
        <f t="shared" si="242"/>
        <v>0</v>
      </c>
      <c r="S260" s="38">
        <f t="shared" si="242"/>
        <v>0</v>
      </c>
      <c r="T260" s="38">
        <f t="shared" si="242"/>
        <v>0</v>
      </c>
      <c r="U260" s="38">
        <f t="shared" si="242"/>
        <v>0</v>
      </c>
      <c r="V260" s="38">
        <f t="shared" si="242"/>
        <v>0</v>
      </c>
      <c r="W260" s="38">
        <f t="shared" si="242"/>
        <v>0</v>
      </c>
      <c r="X260" s="38">
        <f t="shared" si="242"/>
        <v>0</v>
      </c>
      <c r="Y260" s="38">
        <f t="shared" si="242"/>
        <v>0</v>
      </c>
      <c r="Z260" s="38">
        <f t="shared" si="242"/>
        <v>0</v>
      </c>
      <c r="AA260" s="38">
        <f t="shared" si="242"/>
        <v>0</v>
      </c>
      <c r="AB260" s="38">
        <f t="shared" si="242"/>
        <v>0</v>
      </c>
      <c r="AC260" s="38">
        <f t="shared" si="242"/>
        <v>0</v>
      </c>
      <c r="AD260" s="38">
        <f t="shared" si="242"/>
        <v>0</v>
      </c>
      <c r="AE260" s="38">
        <f t="shared" si="242"/>
        <v>0</v>
      </c>
      <c r="AF260" s="38">
        <f t="shared" si="242"/>
        <v>0</v>
      </c>
      <c r="AG260" s="38">
        <f t="shared" si="242"/>
        <v>0</v>
      </c>
      <c r="AH260" s="38">
        <f t="shared" si="242"/>
        <v>0</v>
      </c>
      <c r="AI260" s="38">
        <f t="shared" si="242"/>
        <v>0</v>
      </c>
      <c r="AJ260" s="38">
        <f t="shared" si="242"/>
        <v>0</v>
      </c>
      <c r="AK260" s="38">
        <f t="shared" si="242"/>
        <v>0</v>
      </c>
      <c r="AL260" s="38">
        <f t="shared" si="242"/>
        <v>0</v>
      </c>
      <c r="AM260" s="38">
        <f t="shared" si="242"/>
        <v>0</v>
      </c>
      <c r="AN260" s="38">
        <f t="shared" si="242"/>
        <v>0</v>
      </c>
      <c r="AO260" s="38">
        <f t="shared" si="242"/>
        <v>0</v>
      </c>
      <c r="AP260" s="38">
        <f t="shared" si="242"/>
        <v>0</v>
      </c>
      <c r="AQ260" s="38">
        <f t="shared" si="242"/>
        <v>47170</v>
      </c>
      <c r="AR260" s="38">
        <f t="shared" si="242"/>
        <v>0</v>
      </c>
      <c r="AS260" s="38">
        <f t="shared" si="242"/>
        <v>47170</v>
      </c>
      <c r="AT260" s="38">
        <f>AT261</f>
        <v>47170</v>
      </c>
      <c r="AU260" s="9"/>
      <c r="AV260" s="9"/>
      <c r="AW260" s="41"/>
      <c r="AX260" s="19"/>
      <c r="AY260" s="12"/>
      <c r="AZ260" s="13"/>
      <c r="BA260" s="13"/>
    </row>
    <row r="261" spans="1:55" s="14" customFormat="1" ht="144" customHeight="1" x14ac:dyDescent="0.25">
      <c r="A261" s="384">
        <v>1</v>
      </c>
      <c r="B261" s="334" t="s">
        <v>574</v>
      </c>
      <c r="C261" s="5"/>
      <c r="D261" s="6"/>
      <c r="E261" s="196" t="s">
        <v>575</v>
      </c>
      <c r="F261" s="336" t="s">
        <v>576</v>
      </c>
      <c r="G261" s="17">
        <v>80000</v>
      </c>
      <c r="H261" s="17">
        <v>57300</v>
      </c>
      <c r="I261" s="17"/>
      <c r="J261" s="17"/>
      <c r="K261" s="17"/>
      <c r="L261" s="17"/>
      <c r="M261" s="17"/>
      <c r="N261" s="17">
        <f>O261</f>
        <v>2700</v>
      </c>
      <c r="O261" s="17">
        <v>2700</v>
      </c>
      <c r="P261" s="17"/>
      <c r="Q261" s="17"/>
      <c r="R261" s="17"/>
      <c r="S261" s="17"/>
      <c r="T261" s="17"/>
      <c r="U261" s="17"/>
      <c r="V261" s="17"/>
      <c r="W261" s="17"/>
      <c r="X261" s="18"/>
      <c r="Y261" s="18"/>
      <c r="Z261" s="17"/>
      <c r="AA261" s="17"/>
      <c r="AB261" s="17"/>
      <c r="AC261" s="17"/>
      <c r="AD261" s="17"/>
      <c r="AE261" s="17"/>
      <c r="AF261" s="17"/>
      <c r="AG261" s="17"/>
      <c r="AH261" s="17"/>
      <c r="AI261" s="17"/>
      <c r="AJ261" s="17"/>
      <c r="AK261" s="9"/>
      <c r="AL261" s="9"/>
      <c r="AM261" s="17">
        <v>0</v>
      </c>
      <c r="AN261" s="17">
        <v>0</v>
      </c>
      <c r="AO261" s="9"/>
      <c r="AP261" s="9"/>
      <c r="AQ261" s="393">
        <f>AT261</f>
        <v>47170</v>
      </c>
      <c r="AR261" s="393"/>
      <c r="AS261" s="393">
        <f>AT261</f>
        <v>47170</v>
      </c>
      <c r="AT261" s="394">
        <f>36751+12549-2130</f>
        <v>47170</v>
      </c>
      <c r="AU261" s="9"/>
      <c r="AV261" s="9"/>
      <c r="AW261" s="41"/>
      <c r="AX261" s="299">
        <f>AQ261-AT261</f>
        <v>0</v>
      </c>
      <c r="AY261" s="19" t="e">
        <f>AT261+#REF!</f>
        <v>#REF!</v>
      </c>
      <c r="AZ261" s="13"/>
      <c r="BA261" s="13"/>
    </row>
    <row r="262" spans="1:55" s="306" customFormat="1" ht="29.25" customHeight="1" x14ac:dyDescent="0.25">
      <c r="A262" s="276" t="s">
        <v>131</v>
      </c>
      <c r="B262" s="277" t="s">
        <v>40</v>
      </c>
      <c r="C262" s="302"/>
      <c r="D262" s="302"/>
      <c r="E262" s="302"/>
      <c r="F262" s="302"/>
      <c r="G262" s="38">
        <f t="shared" ref="G262:AS262" si="243">G263</f>
        <v>11000</v>
      </c>
      <c r="H262" s="38">
        <f t="shared" si="243"/>
        <v>11000</v>
      </c>
      <c r="I262" s="38">
        <f t="shared" si="243"/>
        <v>0</v>
      </c>
      <c r="J262" s="38">
        <f t="shared" si="243"/>
        <v>0</v>
      </c>
      <c r="K262" s="38">
        <f t="shared" si="243"/>
        <v>0</v>
      </c>
      <c r="L262" s="38">
        <f t="shared" si="243"/>
        <v>0</v>
      </c>
      <c r="M262" s="38">
        <f t="shared" si="243"/>
        <v>0</v>
      </c>
      <c r="N262" s="38">
        <f t="shared" si="243"/>
        <v>0</v>
      </c>
      <c r="O262" s="38">
        <f t="shared" si="243"/>
        <v>0</v>
      </c>
      <c r="P262" s="38">
        <f t="shared" si="243"/>
        <v>0</v>
      </c>
      <c r="Q262" s="38">
        <f t="shared" si="243"/>
        <v>0</v>
      </c>
      <c r="R262" s="38">
        <f t="shared" si="243"/>
        <v>0</v>
      </c>
      <c r="S262" s="38">
        <f t="shared" si="243"/>
        <v>0</v>
      </c>
      <c r="T262" s="38">
        <f t="shared" si="243"/>
        <v>0</v>
      </c>
      <c r="U262" s="38">
        <f t="shared" si="243"/>
        <v>0</v>
      </c>
      <c r="V262" s="38">
        <f t="shared" si="243"/>
        <v>0</v>
      </c>
      <c r="W262" s="38">
        <f t="shared" si="243"/>
        <v>0</v>
      </c>
      <c r="X262" s="38">
        <f t="shared" si="243"/>
        <v>0</v>
      </c>
      <c r="Y262" s="38">
        <f t="shared" si="243"/>
        <v>0</v>
      </c>
      <c r="Z262" s="38">
        <f t="shared" si="243"/>
        <v>0</v>
      </c>
      <c r="AA262" s="38">
        <f t="shared" si="243"/>
        <v>0</v>
      </c>
      <c r="AB262" s="38">
        <f t="shared" si="243"/>
        <v>0</v>
      </c>
      <c r="AC262" s="38">
        <f t="shared" si="243"/>
        <v>0</v>
      </c>
      <c r="AD262" s="38">
        <f t="shared" si="243"/>
        <v>0</v>
      </c>
      <c r="AE262" s="38">
        <f t="shared" si="243"/>
        <v>0</v>
      </c>
      <c r="AF262" s="38">
        <f t="shared" si="243"/>
        <v>0</v>
      </c>
      <c r="AG262" s="38">
        <f t="shared" si="243"/>
        <v>0</v>
      </c>
      <c r="AH262" s="38">
        <f t="shared" si="243"/>
        <v>0</v>
      </c>
      <c r="AI262" s="38">
        <f t="shared" si="243"/>
        <v>0</v>
      </c>
      <c r="AJ262" s="38">
        <f t="shared" si="243"/>
        <v>0</v>
      </c>
      <c r="AK262" s="38">
        <f t="shared" si="243"/>
        <v>0</v>
      </c>
      <c r="AL262" s="38">
        <f t="shared" si="243"/>
        <v>0</v>
      </c>
      <c r="AM262" s="38">
        <f t="shared" si="243"/>
        <v>0</v>
      </c>
      <c r="AN262" s="38">
        <f t="shared" si="243"/>
        <v>0</v>
      </c>
      <c r="AO262" s="38">
        <f t="shared" si="243"/>
        <v>0</v>
      </c>
      <c r="AP262" s="38">
        <f t="shared" si="243"/>
        <v>0</v>
      </c>
      <c r="AQ262" s="38">
        <f t="shared" si="243"/>
        <v>9000</v>
      </c>
      <c r="AR262" s="38">
        <f t="shared" si="243"/>
        <v>0</v>
      </c>
      <c r="AS262" s="38">
        <f t="shared" si="243"/>
        <v>9000</v>
      </c>
      <c r="AT262" s="38">
        <f>AT263</f>
        <v>9000</v>
      </c>
      <c r="AU262" s="303"/>
      <c r="AV262" s="303"/>
      <c r="AW262" s="304" t="e">
        <f>AT262+AT264+#REF!+AT275+AT278+AT285</f>
        <v>#REF!</v>
      </c>
      <c r="AX262" s="293">
        <f t="shared" ref="AX262:AX274" si="244">AQ262-AT262</f>
        <v>0</v>
      </c>
      <c r="BC262" s="307"/>
    </row>
    <row r="263" spans="1:55" s="294" customFormat="1" ht="47.25" x14ac:dyDescent="0.25">
      <c r="A263" s="280">
        <v>1</v>
      </c>
      <c r="B263" s="74" t="s">
        <v>597</v>
      </c>
      <c r="C263" s="288"/>
      <c r="D263" s="288"/>
      <c r="E263" s="288" t="s">
        <v>61</v>
      </c>
      <c r="F263" s="288"/>
      <c r="G263" s="388">
        <v>11000</v>
      </c>
      <c r="H263" s="388">
        <v>11000</v>
      </c>
      <c r="I263" s="56"/>
      <c r="J263" s="56"/>
      <c r="K263" s="56"/>
      <c r="L263" s="56"/>
      <c r="M263" s="56"/>
      <c r="N263" s="56"/>
      <c r="O263" s="56"/>
      <c r="P263" s="56"/>
      <c r="Q263" s="56"/>
      <c r="R263" s="56"/>
      <c r="S263" s="56"/>
      <c r="T263" s="56"/>
      <c r="U263" s="56"/>
      <c r="V263" s="56"/>
      <c r="W263" s="56"/>
      <c r="X263" s="388"/>
      <c r="Y263" s="388"/>
      <c r="Z263" s="56"/>
      <c r="AA263" s="56"/>
      <c r="AB263" s="56"/>
      <c r="AC263" s="56"/>
      <c r="AD263" s="56"/>
      <c r="AE263" s="56"/>
      <c r="AF263" s="56"/>
      <c r="AG263" s="56"/>
      <c r="AH263" s="56"/>
      <c r="AI263" s="56"/>
      <c r="AJ263" s="56"/>
      <c r="AK263" s="56"/>
      <c r="AL263" s="56"/>
      <c r="AM263" s="56"/>
      <c r="AN263" s="56"/>
      <c r="AO263" s="56"/>
      <c r="AP263" s="56"/>
      <c r="AQ263" s="64">
        <v>9000</v>
      </c>
      <c r="AR263" s="56"/>
      <c r="AS263" s="64">
        <f>AT263</f>
        <v>9000</v>
      </c>
      <c r="AT263" s="64">
        <v>9000</v>
      </c>
      <c r="AU263" s="290"/>
      <c r="AV263" s="290"/>
      <c r="AW263" s="292"/>
      <c r="AX263" s="293">
        <f t="shared" si="244"/>
        <v>0</v>
      </c>
      <c r="BC263" s="295"/>
    </row>
    <row r="264" spans="1:55" s="306" customFormat="1" ht="29.25" customHeight="1" x14ac:dyDescent="0.25">
      <c r="A264" s="276" t="s">
        <v>224</v>
      </c>
      <c r="B264" s="277" t="s">
        <v>88</v>
      </c>
      <c r="C264" s="302"/>
      <c r="D264" s="302"/>
      <c r="E264" s="302"/>
      <c r="F264" s="302"/>
      <c r="G264" s="38">
        <f t="shared" ref="G264:AS264" si="245">SUM(G265:G273)</f>
        <v>58890</v>
      </c>
      <c r="H264" s="38">
        <f t="shared" si="245"/>
        <v>48924</v>
      </c>
      <c r="I264" s="38">
        <f t="shared" si="245"/>
        <v>0</v>
      </c>
      <c r="J264" s="38">
        <f t="shared" si="245"/>
        <v>0</v>
      </c>
      <c r="K264" s="38">
        <f t="shared" si="245"/>
        <v>0</v>
      </c>
      <c r="L264" s="38">
        <f t="shared" si="245"/>
        <v>0</v>
      </c>
      <c r="M264" s="38">
        <f t="shared" si="245"/>
        <v>0</v>
      </c>
      <c r="N264" s="38">
        <f t="shared" si="245"/>
        <v>0</v>
      </c>
      <c r="O264" s="38">
        <f t="shared" si="245"/>
        <v>0</v>
      </c>
      <c r="P264" s="38">
        <f t="shared" si="245"/>
        <v>0</v>
      </c>
      <c r="Q264" s="38">
        <f t="shared" si="245"/>
        <v>0</v>
      </c>
      <c r="R264" s="38">
        <f t="shared" si="245"/>
        <v>0</v>
      </c>
      <c r="S264" s="38">
        <f t="shared" si="245"/>
        <v>0</v>
      </c>
      <c r="T264" s="38">
        <f t="shared" si="245"/>
        <v>0</v>
      </c>
      <c r="U264" s="38">
        <f t="shared" si="245"/>
        <v>0</v>
      </c>
      <c r="V264" s="38">
        <f t="shared" si="245"/>
        <v>0</v>
      </c>
      <c r="W264" s="38">
        <f t="shared" si="245"/>
        <v>0</v>
      </c>
      <c r="X264" s="38">
        <f t="shared" si="245"/>
        <v>0</v>
      </c>
      <c r="Y264" s="38">
        <f t="shared" si="245"/>
        <v>0</v>
      </c>
      <c r="Z264" s="38">
        <f t="shared" si="245"/>
        <v>0</v>
      </c>
      <c r="AA264" s="38">
        <f t="shared" si="245"/>
        <v>0</v>
      </c>
      <c r="AB264" s="38">
        <f t="shared" si="245"/>
        <v>0</v>
      </c>
      <c r="AC264" s="38">
        <f t="shared" si="245"/>
        <v>0</v>
      </c>
      <c r="AD264" s="38">
        <f t="shared" si="245"/>
        <v>0</v>
      </c>
      <c r="AE264" s="38">
        <f t="shared" si="245"/>
        <v>0</v>
      </c>
      <c r="AF264" s="38">
        <f t="shared" si="245"/>
        <v>0</v>
      </c>
      <c r="AG264" s="38">
        <f t="shared" si="245"/>
        <v>0</v>
      </c>
      <c r="AH264" s="38">
        <f t="shared" si="245"/>
        <v>0</v>
      </c>
      <c r="AI264" s="38">
        <f t="shared" si="245"/>
        <v>0</v>
      </c>
      <c r="AJ264" s="38">
        <f t="shared" si="245"/>
        <v>0</v>
      </c>
      <c r="AK264" s="38">
        <f t="shared" si="245"/>
        <v>0</v>
      </c>
      <c r="AL264" s="38">
        <f t="shared" si="245"/>
        <v>0</v>
      </c>
      <c r="AM264" s="38">
        <f t="shared" si="245"/>
        <v>0</v>
      </c>
      <c r="AN264" s="38">
        <f t="shared" si="245"/>
        <v>0</v>
      </c>
      <c r="AO264" s="38">
        <f t="shared" si="245"/>
        <v>0</v>
      </c>
      <c r="AP264" s="38">
        <f t="shared" si="245"/>
        <v>0</v>
      </c>
      <c r="AQ264" s="38">
        <f t="shared" si="245"/>
        <v>38814</v>
      </c>
      <c r="AR264" s="38">
        <f t="shared" si="245"/>
        <v>0</v>
      </c>
      <c r="AS264" s="38">
        <f t="shared" si="245"/>
        <v>46980</v>
      </c>
      <c r="AT264" s="38">
        <f>SUM(AT265:AT273)</f>
        <v>38814</v>
      </c>
      <c r="AU264" s="303"/>
      <c r="AV264" s="303"/>
      <c r="AW264" s="304"/>
      <c r="AX264" s="293">
        <f t="shared" si="244"/>
        <v>0</v>
      </c>
      <c r="BC264" s="307"/>
    </row>
    <row r="265" spans="1:55" s="294" customFormat="1" ht="45" x14ac:dyDescent="0.25">
      <c r="A265" s="280">
        <v>1</v>
      </c>
      <c r="B265" s="74" t="s">
        <v>598</v>
      </c>
      <c r="C265" s="288"/>
      <c r="D265" s="288"/>
      <c r="E265" s="288" t="s">
        <v>61</v>
      </c>
      <c r="F265" s="288" t="s">
        <v>629</v>
      </c>
      <c r="G265" s="378">
        <v>14990</v>
      </c>
      <c r="H265" s="378">
        <v>11904</v>
      </c>
      <c r="I265" s="311"/>
      <c r="J265" s="311"/>
      <c r="K265" s="311"/>
      <c r="L265" s="311"/>
      <c r="M265" s="311"/>
      <c r="N265" s="311"/>
      <c r="O265" s="311"/>
      <c r="P265" s="311"/>
      <c r="Q265" s="311"/>
      <c r="R265" s="311"/>
      <c r="S265" s="311"/>
      <c r="T265" s="311"/>
      <c r="U265" s="311"/>
      <c r="V265" s="311"/>
      <c r="W265" s="311"/>
      <c r="X265" s="310"/>
      <c r="Y265" s="310"/>
      <c r="Z265" s="311"/>
      <c r="AA265" s="311"/>
      <c r="AB265" s="311"/>
      <c r="AC265" s="311"/>
      <c r="AD265" s="311"/>
      <c r="AE265" s="311"/>
      <c r="AF265" s="311"/>
      <c r="AG265" s="311"/>
      <c r="AH265" s="311"/>
      <c r="AI265" s="311"/>
      <c r="AJ265" s="311"/>
      <c r="AK265" s="311"/>
      <c r="AL265" s="311"/>
      <c r="AM265" s="311"/>
      <c r="AN265" s="311"/>
      <c r="AO265" s="311"/>
      <c r="AP265" s="311"/>
      <c r="AQ265" s="375">
        <v>11904</v>
      </c>
      <c r="AR265" s="95"/>
      <c r="AS265" s="375">
        <v>14990</v>
      </c>
      <c r="AT265" s="375">
        <v>11904</v>
      </c>
      <c r="AU265" s="290"/>
      <c r="AV265" s="290"/>
      <c r="AW265" s="292"/>
      <c r="AX265" s="293">
        <f t="shared" si="244"/>
        <v>0</v>
      </c>
      <c r="BC265" s="295"/>
    </row>
    <row r="266" spans="1:55" s="294" customFormat="1" ht="47.25" x14ac:dyDescent="0.25">
      <c r="A266" s="280">
        <v>2</v>
      </c>
      <c r="B266" s="74" t="s">
        <v>599</v>
      </c>
      <c r="C266" s="288"/>
      <c r="D266" s="288"/>
      <c r="E266" s="288" t="s">
        <v>61</v>
      </c>
      <c r="F266" s="288" t="s">
        <v>630</v>
      </c>
      <c r="G266" s="378">
        <v>6000</v>
      </c>
      <c r="H266" s="378">
        <v>4550</v>
      </c>
      <c r="I266" s="311"/>
      <c r="J266" s="311"/>
      <c r="K266" s="311"/>
      <c r="L266" s="311"/>
      <c r="M266" s="311"/>
      <c r="N266" s="311"/>
      <c r="O266" s="311"/>
      <c r="P266" s="311"/>
      <c r="Q266" s="311"/>
      <c r="R266" s="311"/>
      <c r="S266" s="311"/>
      <c r="T266" s="311"/>
      <c r="U266" s="311"/>
      <c r="V266" s="311"/>
      <c r="W266" s="311"/>
      <c r="X266" s="310"/>
      <c r="Y266" s="310"/>
      <c r="Z266" s="311"/>
      <c r="AA266" s="311"/>
      <c r="AB266" s="311"/>
      <c r="AC266" s="311"/>
      <c r="AD266" s="311"/>
      <c r="AE266" s="311"/>
      <c r="AF266" s="311"/>
      <c r="AG266" s="311"/>
      <c r="AH266" s="311"/>
      <c r="AI266" s="311"/>
      <c r="AJ266" s="311"/>
      <c r="AK266" s="311"/>
      <c r="AL266" s="311"/>
      <c r="AM266" s="311"/>
      <c r="AN266" s="311"/>
      <c r="AO266" s="311"/>
      <c r="AP266" s="311"/>
      <c r="AQ266" s="375">
        <v>4550</v>
      </c>
      <c r="AR266" s="95"/>
      <c r="AS266" s="375">
        <v>6000</v>
      </c>
      <c r="AT266" s="375">
        <v>4550</v>
      </c>
      <c r="AU266" s="290"/>
      <c r="AV266" s="290"/>
      <c r="AW266" s="292"/>
      <c r="AX266" s="293">
        <f t="shared" si="244"/>
        <v>0</v>
      </c>
      <c r="BC266" s="295"/>
    </row>
    <row r="267" spans="1:55" s="294" customFormat="1" ht="45" x14ac:dyDescent="0.25">
      <c r="A267" s="280">
        <v>3</v>
      </c>
      <c r="B267" s="74" t="s">
        <v>600</v>
      </c>
      <c r="C267" s="288"/>
      <c r="D267" s="288"/>
      <c r="E267" s="288" t="s">
        <v>61</v>
      </c>
      <c r="F267" s="288" t="s">
        <v>631</v>
      </c>
      <c r="G267" s="378">
        <v>14000</v>
      </c>
      <c r="H267" s="378">
        <v>10370</v>
      </c>
      <c r="I267" s="311"/>
      <c r="J267" s="311"/>
      <c r="K267" s="311"/>
      <c r="L267" s="311"/>
      <c r="M267" s="311"/>
      <c r="N267" s="311"/>
      <c r="O267" s="311"/>
      <c r="P267" s="311"/>
      <c r="Q267" s="311"/>
      <c r="R267" s="311"/>
      <c r="S267" s="311"/>
      <c r="T267" s="311"/>
      <c r="U267" s="311"/>
      <c r="V267" s="311"/>
      <c r="W267" s="311"/>
      <c r="X267" s="310"/>
      <c r="Y267" s="310"/>
      <c r="Z267" s="311"/>
      <c r="AA267" s="311"/>
      <c r="AB267" s="311"/>
      <c r="AC267" s="311"/>
      <c r="AD267" s="311"/>
      <c r="AE267" s="311"/>
      <c r="AF267" s="311"/>
      <c r="AG267" s="311"/>
      <c r="AH267" s="311"/>
      <c r="AI267" s="311"/>
      <c r="AJ267" s="311"/>
      <c r="AK267" s="311"/>
      <c r="AL267" s="311"/>
      <c r="AM267" s="311"/>
      <c r="AN267" s="311"/>
      <c r="AO267" s="311"/>
      <c r="AP267" s="311"/>
      <c r="AQ267" s="375">
        <v>10370</v>
      </c>
      <c r="AR267" s="95"/>
      <c r="AS267" s="375">
        <v>14000</v>
      </c>
      <c r="AT267" s="375">
        <v>10370</v>
      </c>
      <c r="AU267" s="290"/>
      <c r="AV267" s="290"/>
      <c r="AW267" s="292"/>
      <c r="AX267" s="293">
        <f t="shared" si="244"/>
        <v>0</v>
      </c>
      <c r="BC267" s="295"/>
    </row>
    <row r="268" spans="1:55" s="294" customFormat="1" ht="30" x14ac:dyDescent="0.25">
      <c r="A268" s="280">
        <v>4</v>
      </c>
      <c r="B268" s="74" t="s">
        <v>601</v>
      </c>
      <c r="C268" s="288"/>
      <c r="D268" s="288"/>
      <c r="E268" s="288" t="s">
        <v>61</v>
      </c>
      <c r="F268" s="288" t="s">
        <v>632</v>
      </c>
      <c r="G268" s="378">
        <v>4000</v>
      </c>
      <c r="H268" s="378">
        <v>3700</v>
      </c>
      <c r="I268" s="311"/>
      <c r="J268" s="311"/>
      <c r="K268" s="311"/>
      <c r="L268" s="311"/>
      <c r="M268" s="311"/>
      <c r="N268" s="311"/>
      <c r="O268" s="311"/>
      <c r="P268" s="311"/>
      <c r="Q268" s="311"/>
      <c r="R268" s="311"/>
      <c r="S268" s="311"/>
      <c r="T268" s="311"/>
      <c r="U268" s="311"/>
      <c r="V268" s="311"/>
      <c r="W268" s="311"/>
      <c r="X268" s="310"/>
      <c r="Y268" s="310"/>
      <c r="Z268" s="311"/>
      <c r="AA268" s="311"/>
      <c r="AB268" s="311"/>
      <c r="AC268" s="311"/>
      <c r="AD268" s="311"/>
      <c r="AE268" s="311"/>
      <c r="AF268" s="311"/>
      <c r="AG268" s="311"/>
      <c r="AH268" s="311"/>
      <c r="AI268" s="311"/>
      <c r="AJ268" s="311"/>
      <c r="AK268" s="311"/>
      <c r="AL268" s="311"/>
      <c r="AM268" s="311"/>
      <c r="AN268" s="311"/>
      <c r="AO268" s="311"/>
      <c r="AP268" s="311"/>
      <c r="AQ268" s="375">
        <v>2350</v>
      </c>
      <c r="AR268" s="95"/>
      <c r="AS268" s="375">
        <v>2350</v>
      </c>
      <c r="AT268" s="375">
        <v>2350</v>
      </c>
      <c r="AU268" s="290"/>
      <c r="AV268" s="290"/>
      <c r="AW268" s="292"/>
      <c r="AX268" s="293">
        <f t="shared" si="244"/>
        <v>0</v>
      </c>
      <c r="BC268" s="295"/>
    </row>
    <row r="269" spans="1:55" s="294" customFormat="1" ht="30" x14ac:dyDescent="0.25">
      <c r="A269" s="280">
        <v>5</v>
      </c>
      <c r="B269" s="74" t="s">
        <v>602</v>
      </c>
      <c r="C269" s="288"/>
      <c r="D269" s="288"/>
      <c r="E269" s="288" t="s">
        <v>61</v>
      </c>
      <c r="F269" s="288" t="s">
        <v>633</v>
      </c>
      <c r="G269" s="378">
        <v>4000</v>
      </c>
      <c r="H269" s="378">
        <v>3700</v>
      </c>
      <c r="I269" s="311"/>
      <c r="J269" s="311"/>
      <c r="K269" s="311"/>
      <c r="L269" s="311"/>
      <c r="M269" s="311"/>
      <c r="N269" s="311"/>
      <c r="O269" s="311"/>
      <c r="P269" s="311"/>
      <c r="Q269" s="311"/>
      <c r="R269" s="311"/>
      <c r="S269" s="311"/>
      <c r="T269" s="311"/>
      <c r="U269" s="311"/>
      <c r="V269" s="311"/>
      <c r="W269" s="311"/>
      <c r="X269" s="310"/>
      <c r="Y269" s="310"/>
      <c r="Z269" s="311"/>
      <c r="AA269" s="311"/>
      <c r="AB269" s="311"/>
      <c r="AC269" s="311"/>
      <c r="AD269" s="311"/>
      <c r="AE269" s="311"/>
      <c r="AF269" s="311"/>
      <c r="AG269" s="311"/>
      <c r="AH269" s="311"/>
      <c r="AI269" s="311"/>
      <c r="AJ269" s="311"/>
      <c r="AK269" s="311"/>
      <c r="AL269" s="311"/>
      <c r="AM269" s="311"/>
      <c r="AN269" s="311"/>
      <c r="AO269" s="311"/>
      <c r="AP269" s="311"/>
      <c r="AQ269" s="375">
        <v>2350</v>
      </c>
      <c r="AR269" s="95"/>
      <c r="AS269" s="375">
        <v>2350</v>
      </c>
      <c r="AT269" s="375">
        <v>2350</v>
      </c>
      <c r="AU269" s="290"/>
      <c r="AV269" s="290"/>
      <c r="AW269" s="292"/>
      <c r="AX269" s="293">
        <f t="shared" si="244"/>
        <v>0</v>
      </c>
      <c r="BC269" s="295"/>
    </row>
    <row r="270" spans="1:55" s="294" customFormat="1" ht="30" x14ac:dyDescent="0.25">
      <c r="A270" s="280">
        <v>6</v>
      </c>
      <c r="B270" s="74" t="s">
        <v>603</v>
      </c>
      <c r="C270" s="288"/>
      <c r="D270" s="288"/>
      <c r="E270" s="288" t="s">
        <v>61</v>
      </c>
      <c r="F270" s="288" t="s">
        <v>634</v>
      </c>
      <c r="G270" s="378">
        <v>4000</v>
      </c>
      <c r="H270" s="378">
        <v>3700</v>
      </c>
      <c r="I270" s="311"/>
      <c r="J270" s="311"/>
      <c r="K270" s="311"/>
      <c r="L270" s="311"/>
      <c r="M270" s="311"/>
      <c r="N270" s="311"/>
      <c r="O270" s="311"/>
      <c r="P270" s="311"/>
      <c r="Q270" s="311"/>
      <c r="R270" s="311"/>
      <c r="S270" s="311"/>
      <c r="T270" s="311"/>
      <c r="U270" s="311"/>
      <c r="V270" s="311"/>
      <c r="W270" s="311"/>
      <c r="X270" s="310"/>
      <c r="Y270" s="310"/>
      <c r="Z270" s="311"/>
      <c r="AA270" s="311"/>
      <c r="AB270" s="311"/>
      <c r="AC270" s="311"/>
      <c r="AD270" s="311"/>
      <c r="AE270" s="311"/>
      <c r="AF270" s="311"/>
      <c r="AG270" s="311"/>
      <c r="AH270" s="311"/>
      <c r="AI270" s="311"/>
      <c r="AJ270" s="311"/>
      <c r="AK270" s="311"/>
      <c r="AL270" s="311"/>
      <c r="AM270" s="311"/>
      <c r="AN270" s="311"/>
      <c r="AO270" s="311"/>
      <c r="AP270" s="311"/>
      <c r="AQ270" s="375">
        <v>2350</v>
      </c>
      <c r="AR270" s="95"/>
      <c r="AS270" s="375">
        <v>2350</v>
      </c>
      <c r="AT270" s="375">
        <v>2350</v>
      </c>
      <c r="AU270" s="290"/>
      <c r="AV270" s="290"/>
      <c r="AW270" s="292"/>
      <c r="AX270" s="293">
        <f t="shared" si="244"/>
        <v>0</v>
      </c>
      <c r="BC270" s="295"/>
    </row>
    <row r="271" spans="1:55" s="294" customFormat="1" ht="30" x14ac:dyDescent="0.25">
      <c r="A271" s="280">
        <v>7</v>
      </c>
      <c r="B271" s="74" t="s">
        <v>604</v>
      </c>
      <c r="C271" s="288"/>
      <c r="D271" s="288"/>
      <c r="E271" s="288" t="s">
        <v>61</v>
      </c>
      <c r="F271" s="288" t="s">
        <v>635</v>
      </c>
      <c r="G271" s="378">
        <v>4000</v>
      </c>
      <c r="H271" s="378">
        <v>3700</v>
      </c>
      <c r="I271" s="311"/>
      <c r="J271" s="311"/>
      <c r="K271" s="311"/>
      <c r="L271" s="311"/>
      <c r="M271" s="311"/>
      <c r="N271" s="311"/>
      <c r="O271" s="311"/>
      <c r="P271" s="311"/>
      <c r="Q271" s="311"/>
      <c r="R271" s="311"/>
      <c r="S271" s="311"/>
      <c r="T271" s="311"/>
      <c r="U271" s="311"/>
      <c r="V271" s="311"/>
      <c r="W271" s="311"/>
      <c r="X271" s="310"/>
      <c r="Y271" s="310"/>
      <c r="Z271" s="311"/>
      <c r="AA271" s="311"/>
      <c r="AB271" s="311"/>
      <c r="AC271" s="311"/>
      <c r="AD271" s="311"/>
      <c r="AE271" s="311"/>
      <c r="AF271" s="311"/>
      <c r="AG271" s="311"/>
      <c r="AH271" s="311"/>
      <c r="AI271" s="311"/>
      <c r="AJ271" s="311"/>
      <c r="AK271" s="311"/>
      <c r="AL271" s="311"/>
      <c r="AM271" s="311"/>
      <c r="AN271" s="311"/>
      <c r="AO271" s="311"/>
      <c r="AP271" s="311"/>
      <c r="AQ271" s="375">
        <v>2350</v>
      </c>
      <c r="AR271" s="95"/>
      <c r="AS271" s="375">
        <v>2350</v>
      </c>
      <c r="AT271" s="375">
        <v>2350</v>
      </c>
      <c r="AU271" s="290"/>
      <c r="AV271" s="290"/>
      <c r="AW271" s="292"/>
      <c r="AX271" s="293">
        <f t="shared" si="244"/>
        <v>0</v>
      </c>
      <c r="BC271" s="295"/>
    </row>
    <row r="272" spans="1:55" s="294" customFormat="1" ht="30" x14ac:dyDescent="0.25">
      <c r="A272" s="280">
        <v>8</v>
      </c>
      <c r="B272" s="74" t="s">
        <v>605</v>
      </c>
      <c r="C272" s="288"/>
      <c r="D272" s="288"/>
      <c r="E272" s="288" t="s">
        <v>61</v>
      </c>
      <c r="F272" s="288" t="s">
        <v>636</v>
      </c>
      <c r="G272" s="378">
        <v>4000</v>
      </c>
      <c r="H272" s="378">
        <v>3700</v>
      </c>
      <c r="I272" s="311"/>
      <c r="J272" s="311"/>
      <c r="K272" s="311"/>
      <c r="L272" s="311"/>
      <c r="M272" s="311"/>
      <c r="N272" s="311"/>
      <c r="O272" s="311"/>
      <c r="P272" s="311"/>
      <c r="Q272" s="311"/>
      <c r="R272" s="311"/>
      <c r="S272" s="311"/>
      <c r="T272" s="311"/>
      <c r="U272" s="311"/>
      <c r="V272" s="311"/>
      <c r="W272" s="311"/>
      <c r="X272" s="310"/>
      <c r="Y272" s="310"/>
      <c r="Z272" s="311"/>
      <c r="AA272" s="311"/>
      <c r="AB272" s="311"/>
      <c r="AC272" s="311"/>
      <c r="AD272" s="311"/>
      <c r="AE272" s="311"/>
      <c r="AF272" s="311"/>
      <c r="AG272" s="311"/>
      <c r="AH272" s="311"/>
      <c r="AI272" s="311"/>
      <c r="AJ272" s="311"/>
      <c r="AK272" s="311"/>
      <c r="AL272" s="311"/>
      <c r="AM272" s="311"/>
      <c r="AN272" s="311"/>
      <c r="AO272" s="311"/>
      <c r="AP272" s="311"/>
      <c r="AQ272" s="375">
        <v>2350</v>
      </c>
      <c r="AR272" s="95"/>
      <c r="AS272" s="375">
        <v>2350</v>
      </c>
      <c r="AT272" s="375">
        <v>2350</v>
      </c>
      <c r="AU272" s="290"/>
      <c r="AV272" s="290"/>
      <c r="AW272" s="292"/>
      <c r="AX272" s="293">
        <f t="shared" si="244"/>
        <v>0</v>
      </c>
      <c r="BC272" s="295"/>
    </row>
    <row r="273" spans="1:55" s="294" customFormat="1" ht="30" x14ac:dyDescent="0.25">
      <c r="A273" s="280">
        <v>9</v>
      </c>
      <c r="B273" s="74" t="s">
        <v>606</v>
      </c>
      <c r="C273" s="288"/>
      <c r="D273" s="288"/>
      <c r="E273" s="288" t="s">
        <v>61</v>
      </c>
      <c r="F273" s="288" t="s">
        <v>637</v>
      </c>
      <c r="G273" s="378">
        <v>3900</v>
      </c>
      <c r="H273" s="378">
        <v>3600</v>
      </c>
      <c r="I273" s="311"/>
      <c r="J273" s="311"/>
      <c r="K273" s="311"/>
      <c r="L273" s="311"/>
      <c r="M273" s="311"/>
      <c r="N273" s="311"/>
      <c r="O273" s="311"/>
      <c r="P273" s="311"/>
      <c r="Q273" s="311"/>
      <c r="R273" s="311"/>
      <c r="S273" s="311"/>
      <c r="T273" s="311"/>
      <c r="U273" s="311"/>
      <c r="V273" s="311"/>
      <c r="W273" s="311"/>
      <c r="X273" s="310"/>
      <c r="Y273" s="310"/>
      <c r="Z273" s="311"/>
      <c r="AA273" s="311"/>
      <c r="AB273" s="311"/>
      <c r="AC273" s="311"/>
      <c r="AD273" s="311"/>
      <c r="AE273" s="311"/>
      <c r="AF273" s="311"/>
      <c r="AG273" s="311"/>
      <c r="AH273" s="311"/>
      <c r="AI273" s="311"/>
      <c r="AJ273" s="311"/>
      <c r="AK273" s="311"/>
      <c r="AL273" s="311"/>
      <c r="AM273" s="311"/>
      <c r="AN273" s="311"/>
      <c r="AO273" s="311"/>
      <c r="AP273" s="311"/>
      <c r="AQ273" s="375">
        <v>240</v>
      </c>
      <c r="AR273" s="95"/>
      <c r="AS273" s="375">
        <v>240</v>
      </c>
      <c r="AT273" s="375">
        <v>240</v>
      </c>
      <c r="AU273" s="290"/>
      <c r="AV273" s="290"/>
      <c r="AW273" s="292"/>
      <c r="AX273" s="293">
        <f t="shared" si="244"/>
        <v>0</v>
      </c>
      <c r="BC273" s="295"/>
    </row>
    <row r="274" spans="1:55" s="294" customFormat="1" ht="31.5" hidden="1" x14ac:dyDescent="0.25">
      <c r="A274" s="280">
        <v>10</v>
      </c>
      <c r="B274" s="74" t="s">
        <v>607</v>
      </c>
      <c r="C274" s="382"/>
      <c r="D274" s="382"/>
      <c r="E274" s="382" t="s">
        <v>61</v>
      </c>
      <c r="F274" s="382"/>
      <c r="G274" s="378"/>
      <c r="H274" s="378"/>
      <c r="I274" s="311"/>
      <c r="J274" s="311"/>
      <c r="K274" s="311"/>
      <c r="L274" s="311"/>
      <c r="M274" s="311"/>
      <c r="N274" s="311"/>
      <c r="O274" s="311"/>
      <c r="P274" s="311"/>
      <c r="Q274" s="311"/>
      <c r="R274" s="311"/>
      <c r="S274" s="311"/>
      <c r="T274" s="311"/>
      <c r="U274" s="311"/>
      <c r="V274" s="311"/>
      <c r="W274" s="311"/>
      <c r="X274" s="310"/>
      <c r="Y274" s="310"/>
      <c r="Z274" s="311"/>
      <c r="AA274" s="311"/>
      <c r="AB274" s="311"/>
      <c r="AC274" s="311"/>
      <c r="AD274" s="311"/>
      <c r="AE274" s="311"/>
      <c r="AF274" s="311"/>
      <c r="AG274" s="311"/>
      <c r="AH274" s="311"/>
      <c r="AI274" s="311"/>
      <c r="AJ274" s="311"/>
      <c r="AK274" s="311"/>
      <c r="AL274" s="311"/>
      <c r="AM274" s="311"/>
      <c r="AN274" s="311"/>
      <c r="AO274" s="311"/>
      <c r="AP274" s="311"/>
      <c r="AQ274" s="375"/>
      <c r="AR274" s="95"/>
      <c r="AS274" s="375"/>
      <c r="AT274" s="375"/>
      <c r="AU274" s="290"/>
      <c r="AV274" s="290"/>
      <c r="AW274" s="385"/>
      <c r="AX274" s="293">
        <f t="shared" si="244"/>
        <v>0</v>
      </c>
      <c r="BC274" s="295"/>
    </row>
    <row r="275" spans="1:55" s="306" customFormat="1" ht="29.25" customHeight="1" x14ac:dyDescent="0.25">
      <c r="A275" s="276" t="s">
        <v>609</v>
      </c>
      <c r="B275" s="277" t="s">
        <v>610</v>
      </c>
      <c r="C275" s="302"/>
      <c r="D275" s="302"/>
      <c r="E275" s="302"/>
      <c r="F275" s="302"/>
      <c r="G275" s="38">
        <f>SUM(G276:G277)</f>
        <v>17000</v>
      </c>
      <c r="H275" s="38">
        <f t="shared" ref="H275:AT275" si="246">SUM(H276:H277)</f>
        <v>12284</v>
      </c>
      <c r="I275" s="38">
        <f t="shared" si="246"/>
        <v>0</v>
      </c>
      <c r="J275" s="38">
        <f t="shared" si="246"/>
        <v>0</v>
      </c>
      <c r="K275" s="38">
        <f t="shared" si="246"/>
        <v>0</v>
      </c>
      <c r="L275" s="38">
        <f t="shared" si="246"/>
        <v>0</v>
      </c>
      <c r="M275" s="38">
        <f t="shared" si="246"/>
        <v>0</v>
      </c>
      <c r="N275" s="38">
        <f t="shared" si="246"/>
        <v>0</v>
      </c>
      <c r="O275" s="38">
        <f t="shared" si="246"/>
        <v>0</v>
      </c>
      <c r="P275" s="38">
        <f t="shared" si="246"/>
        <v>0</v>
      </c>
      <c r="Q275" s="38">
        <f t="shared" si="246"/>
        <v>0</v>
      </c>
      <c r="R275" s="38">
        <f t="shared" si="246"/>
        <v>0</v>
      </c>
      <c r="S275" s="38">
        <f t="shared" si="246"/>
        <v>0</v>
      </c>
      <c r="T275" s="38">
        <f t="shared" si="246"/>
        <v>0</v>
      </c>
      <c r="U275" s="38">
        <f t="shared" si="246"/>
        <v>0</v>
      </c>
      <c r="V275" s="38">
        <f t="shared" si="246"/>
        <v>0</v>
      </c>
      <c r="W275" s="38">
        <f t="shared" si="246"/>
        <v>0</v>
      </c>
      <c r="X275" s="38">
        <f t="shared" si="246"/>
        <v>0</v>
      </c>
      <c r="Y275" s="38">
        <f t="shared" si="246"/>
        <v>0</v>
      </c>
      <c r="Z275" s="38">
        <f t="shared" si="246"/>
        <v>0</v>
      </c>
      <c r="AA275" s="38">
        <f t="shared" si="246"/>
        <v>0</v>
      </c>
      <c r="AB275" s="38">
        <f t="shared" si="246"/>
        <v>0</v>
      </c>
      <c r="AC275" s="38">
        <f t="shared" si="246"/>
        <v>0</v>
      </c>
      <c r="AD275" s="38">
        <f t="shared" si="246"/>
        <v>0</v>
      </c>
      <c r="AE275" s="38">
        <f t="shared" si="246"/>
        <v>0</v>
      </c>
      <c r="AF275" s="38">
        <f t="shared" si="246"/>
        <v>0</v>
      </c>
      <c r="AG275" s="38">
        <f t="shared" si="246"/>
        <v>0</v>
      </c>
      <c r="AH275" s="38">
        <f t="shared" si="246"/>
        <v>0</v>
      </c>
      <c r="AI275" s="38">
        <f t="shared" si="246"/>
        <v>0</v>
      </c>
      <c r="AJ275" s="38">
        <f t="shared" si="246"/>
        <v>0</v>
      </c>
      <c r="AK275" s="38">
        <f t="shared" si="246"/>
        <v>0</v>
      </c>
      <c r="AL275" s="38">
        <f t="shared" si="246"/>
        <v>0</v>
      </c>
      <c r="AM275" s="38">
        <f t="shared" si="246"/>
        <v>0</v>
      </c>
      <c r="AN275" s="38">
        <f t="shared" si="246"/>
        <v>0</v>
      </c>
      <c r="AO275" s="38">
        <f t="shared" si="246"/>
        <v>0</v>
      </c>
      <c r="AP275" s="38">
        <f t="shared" si="246"/>
        <v>0</v>
      </c>
      <c r="AQ275" s="38">
        <f t="shared" si="246"/>
        <v>12284</v>
      </c>
      <c r="AR275" s="38">
        <f t="shared" si="246"/>
        <v>0</v>
      </c>
      <c r="AS275" s="38">
        <f t="shared" si="246"/>
        <v>17000</v>
      </c>
      <c r="AT275" s="38">
        <f t="shared" si="246"/>
        <v>12284</v>
      </c>
      <c r="AU275" s="303"/>
      <c r="AV275" s="303"/>
      <c r="AW275" s="304"/>
      <c r="AX275" s="293">
        <f t="shared" ref="AX275" si="247">AQ275-AT275</f>
        <v>0</v>
      </c>
      <c r="BC275" s="307"/>
    </row>
    <row r="276" spans="1:55" s="294" customFormat="1" ht="31.5" x14ac:dyDescent="0.25">
      <c r="A276" s="280">
        <v>1</v>
      </c>
      <c r="B276" s="74" t="s">
        <v>611</v>
      </c>
      <c r="C276" s="288"/>
      <c r="D276" s="288"/>
      <c r="E276" s="288" t="s">
        <v>61</v>
      </c>
      <c r="F276" s="288" t="s">
        <v>639</v>
      </c>
      <c r="G276" s="378">
        <v>7000</v>
      </c>
      <c r="H276" s="378">
        <v>4500</v>
      </c>
      <c r="I276" s="95"/>
      <c r="J276" s="95"/>
      <c r="K276" s="95"/>
      <c r="L276" s="95"/>
      <c r="M276" s="95"/>
      <c r="N276" s="95"/>
      <c r="O276" s="95"/>
      <c r="P276" s="95"/>
      <c r="Q276" s="95"/>
      <c r="R276" s="95"/>
      <c r="S276" s="95"/>
      <c r="T276" s="95"/>
      <c r="U276" s="95"/>
      <c r="V276" s="95"/>
      <c r="W276" s="95"/>
      <c r="X276" s="378"/>
      <c r="Y276" s="378"/>
      <c r="Z276" s="95"/>
      <c r="AA276" s="95"/>
      <c r="AB276" s="95"/>
      <c r="AC276" s="95"/>
      <c r="AD276" s="95"/>
      <c r="AE276" s="95"/>
      <c r="AF276" s="95"/>
      <c r="AG276" s="95"/>
      <c r="AH276" s="95"/>
      <c r="AI276" s="95"/>
      <c r="AJ276" s="95"/>
      <c r="AK276" s="95"/>
      <c r="AL276" s="95"/>
      <c r="AM276" s="95"/>
      <c r="AN276" s="95"/>
      <c r="AO276" s="95"/>
      <c r="AP276" s="95"/>
      <c r="AQ276" s="375">
        <v>4500</v>
      </c>
      <c r="AR276" s="95"/>
      <c r="AS276" s="375">
        <v>7000</v>
      </c>
      <c r="AT276" s="375">
        <v>4500</v>
      </c>
      <c r="AU276" s="290"/>
      <c r="AV276" s="290"/>
      <c r="AW276" s="292"/>
      <c r="AX276" s="293">
        <f t="shared" ref="AX276:AX278" si="248">AQ276-AT276</f>
        <v>0</v>
      </c>
      <c r="BC276" s="295"/>
    </row>
    <row r="277" spans="1:55" s="294" customFormat="1" ht="31.5" x14ac:dyDescent="0.25">
      <c r="A277" s="280">
        <v>2</v>
      </c>
      <c r="B277" s="74" t="s">
        <v>612</v>
      </c>
      <c r="C277" s="288"/>
      <c r="D277" s="288"/>
      <c r="E277" s="288" t="s">
        <v>61</v>
      </c>
      <c r="F277" s="288" t="s">
        <v>640</v>
      </c>
      <c r="G277" s="378">
        <v>10000</v>
      </c>
      <c r="H277" s="378">
        <v>7784</v>
      </c>
      <c r="I277" s="95"/>
      <c r="J277" s="95"/>
      <c r="K277" s="95"/>
      <c r="L277" s="95"/>
      <c r="M277" s="95"/>
      <c r="N277" s="95"/>
      <c r="O277" s="95"/>
      <c r="P277" s="95"/>
      <c r="Q277" s="95"/>
      <c r="R277" s="95"/>
      <c r="S277" s="95"/>
      <c r="T277" s="95"/>
      <c r="U277" s="95"/>
      <c r="V277" s="95"/>
      <c r="W277" s="95"/>
      <c r="X277" s="378"/>
      <c r="Y277" s="378"/>
      <c r="Z277" s="95"/>
      <c r="AA277" s="95"/>
      <c r="AB277" s="95"/>
      <c r="AC277" s="95"/>
      <c r="AD277" s="95"/>
      <c r="AE277" s="95"/>
      <c r="AF277" s="95"/>
      <c r="AG277" s="95"/>
      <c r="AH277" s="95"/>
      <c r="AI277" s="95"/>
      <c r="AJ277" s="95"/>
      <c r="AK277" s="95"/>
      <c r="AL277" s="95"/>
      <c r="AM277" s="95"/>
      <c r="AN277" s="95"/>
      <c r="AO277" s="95"/>
      <c r="AP277" s="95"/>
      <c r="AQ277" s="375">
        <v>7784</v>
      </c>
      <c r="AR277" s="95"/>
      <c r="AS277" s="375">
        <v>10000</v>
      </c>
      <c r="AT277" s="375">
        <v>7784</v>
      </c>
      <c r="AU277" s="290"/>
      <c r="AV277" s="290"/>
      <c r="AW277" s="292"/>
      <c r="AX277" s="293">
        <f t="shared" si="248"/>
        <v>0</v>
      </c>
      <c r="BC277" s="295"/>
    </row>
    <row r="278" spans="1:55" s="306" customFormat="1" ht="29.25" customHeight="1" x14ac:dyDescent="0.25">
      <c r="A278" s="276" t="s">
        <v>613</v>
      </c>
      <c r="B278" s="277" t="s">
        <v>614</v>
      </c>
      <c r="C278" s="302"/>
      <c r="D278" s="302"/>
      <c r="E278" s="302"/>
      <c r="F278" s="302"/>
      <c r="G278" s="38">
        <f t="shared" ref="G278:AS278" si="249">SUM(G279:G281)</f>
        <v>271000</v>
      </c>
      <c r="H278" s="38">
        <f t="shared" si="249"/>
        <v>271000</v>
      </c>
      <c r="I278" s="38">
        <f t="shared" si="249"/>
        <v>0</v>
      </c>
      <c r="J278" s="38">
        <f t="shared" si="249"/>
        <v>0</v>
      </c>
      <c r="K278" s="38">
        <f t="shared" si="249"/>
        <v>0</v>
      </c>
      <c r="L278" s="38">
        <f t="shared" si="249"/>
        <v>0</v>
      </c>
      <c r="M278" s="38">
        <f t="shared" si="249"/>
        <v>0</v>
      </c>
      <c r="N278" s="38">
        <f t="shared" si="249"/>
        <v>0</v>
      </c>
      <c r="O278" s="38">
        <f t="shared" si="249"/>
        <v>0</v>
      </c>
      <c r="P278" s="38">
        <f t="shared" si="249"/>
        <v>0</v>
      </c>
      <c r="Q278" s="38">
        <f t="shared" si="249"/>
        <v>0</v>
      </c>
      <c r="R278" s="38">
        <f t="shared" si="249"/>
        <v>0</v>
      </c>
      <c r="S278" s="38">
        <f t="shared" si="249"/>
        <v>0</v>
      </c>
      <c r="T278" s="38">
        <f t="shared" si="249"/>
        <v>0</v>
      </c>
      <c r="U278" s="38">
        <f t="shared" si="249"/>
        <v>0</v>
      </c>
      <c r="V278" s="38">
        <f t="shared" si="249"/>
        <v>0</v>
      </c>
      <c r="W278" s="38">
        <f t="shared" si="249"/>
        <v>0</v>
      </c>
      <c r="X278" s="38">
        <f t="shared" si="249"/>
        <v>0</v>
      </c>
      <c r="Y278" s="38">
        <f t="shared" si="249"/>
        <v>0</v>
      </c>
      <c r="Z278" s="38">
        <f t="shared" si="249"/>
        <v>0</v>
      </c>
      <c r="AA278" s="38">
        <f t="shared" si="249"/>
        <v>0</v>
      </c>
      <c r="AB278" s="38">
        <f t="shared" si="249"/>
        <v>0</v>
      </c>
      <c r="AC278" s="38">
        <f t="shared" si="249"/>
        <v>0</v>
      </c>
      <c r="AD278" s="38">
        <f t="shared" si="249"/>
        <v>0</v>
      </c>
      <c r="AE278" s="38">
        <f t="shared" si="249"/>
        <v>0</v>
      </c>
      <c r="AF278" s="38">
        <f t="shared" si="249"/>
        <v>0</v>
      </c>
      <c r="AG278" s="38">
        <f t="shared" si="249"/>
        <v>0</v>
      </c>
      <c r="AH278" s="38">
        <f t="shared" si="249"/>
        <v>0</v>
      </c>
      <c r="AI278" s="38">
        <f t="shared" si="249"/>
        <v>0</v>
      </c>
      <c r="AJ278" s="38">
        <f t="shared" si="249"/>
        <v>0</v>
      </c>
      <c r="AK278" s="38">
        <f t="shared" si="249"/>
        <v>0</v>
      </c>
      <c r="AL278" s="38">
        <f t="shared" si="249"/>
        <v>0</v>
      </c>
      <c r="AM278" s="38">
        <f t="shared" si="249"/>
        <v>0</v>
      </c>
      <c r="AN278" s="38">
        <f t="shared" si="249"/>
        <v>0</v>
      </c>
      <c r="AO278" s="38">
        <f t="shared" si="249"/>
        <v>0</v>
      </c>
      <c r="AP278" s="38">
        <f t="shared" si="249"/>
        <v>0</v>
      </c>
      <c r="AQ278" s="38">
        <f t="shared" si="249"/>
        <v>22827.3</v>
      </c>
      <c r="AR278" s="38">
        <f t="shared" si="249"/>
        <v>0</v>
      </c>
      <c r="AS278" s="38">
        <f t="shared" si="249"/>
        <v>22827.3</v>
      </c>
      <c r="AT278" s="38">
        <f>SUM(AT279:AT281)</f>
        <v>22827.3</v>
      </c>
      <c r="AU278" s="303"/>
      <c r="AV278" s="303"/>
      <c r="AW278" s="304"/>
      <c r="AX278" s="293">
        <f t="shared" si="248"/>
        <v>0</v>
      </c>
      <c r="BC278" s="307"/>
    </row>
    <row r="279" spans="1:55" s="373" customFormat="1" ht="45" x14ac:dyDescent="0.25">
      <c r="A279" s="368">
        <v>1</v>
      </c>
      <c r="B279" s="81" t="s">
        <v>679</v>
      </c>
      <c r="C279" s="369"/>
      <c r="D279" s="369"/>
      <c r="E279" s="369"/>
      <c r="F279" s="369" t="s">
        <v>678</v>
      </c>
      <c r="G279" s="26">
        <v>247000</v>
      </c>
      <c r="H279" s="26">
        <v>247000</v>
      </c>
      <c r="I279" s="26"/>
      <c r="J279" s="26"/>
      <c r="K279" s="26"/>
      <c r="L279" s="26"/>
      <c r="M279" s="26"/>
      <c r="N279" s="26"/>
      <c r="O279" s="26"/>
      <c r="P279" s="26"/>
      <c r="Q279" s="26"/>
      <c r="R279" s="26"/>
      <c r="S279" s="26"/>
      <c r="T279" s="26"/>
      <c r="U279" s="26"/>
      <c r="V279" s="26"/>
      <c r="W279" s="26"/>
      <c r="X279" s="26"/>
      <c r="Y279" s="26"/>
      <c r="Z279" s="26"/>
      <c r="AA279" s="26"/>
      <c r="AB279" s="26"/>
      <c r="AC279" s="26"/>
      <c r="AD279" s="26"/>
      <c r="AE279" s="26"/>
      <c r="AF279" s="26"/>
      <c r="AG279" s="26"/>
      <c r="AH279" s="26"/>
      <c r="AI279" s="26"/>
      <c r="AJ279" s="26"/>
      <c r="AK279" s="26"/>
      <c r="AL279" s="26"/>
      <c r="AM279" s="26"/>
      <c r="AN279" s="26"/>
      <c r="AO279" s="26"/>
      <c r="AP279" s="26"/>
      <c r="AQ279" s="26">
        <f>AT279</f>
        <v>5000</v>
      </c>
      <c r="AR279" s="26"/>
      <c r="AS279" s="26">
        <f>AT279</f>
        <v>5000</v>
      </c>
      <c r="AT279" s="26">
        <v>5000</v>
      </c>
      <c r="AU279" s="371"/>
      <c r="AV279" s="371"/>
      <c r="AW279" s="372"/>
      <c r="AX279" s="386"/>
      <c r="BC279" s="374"/>
    </row>
    <row r="280" spans="1:55" s="373" customFormat="1" ht="49.5" customHeight="1" x14ac:dyDescent="0.25">
      <c r="A280" s="368">
        <v>2</v>
      </c>
      <c r="B280" s="81" t="s">
        <v>676</v>
      </c>
      <c r="C280" s="369"/>
      <c r="D280" s="369"/>
      <c r="E280" s="369" t="s">
        <v>61</v>
      </c>
      <c r="F280" s="369" t="s">
        <v>641</v>
      </c>
      <c r="G280" s="370">
        <v>10000</v>
      </c>
      <c r="H280" s="370">
        <v>10000</v>
      </c>
      <c r="I280" s="367"/>
      <c r="J280" s="367"/>
      <c r="K280" s="367"/>
      <c r="L280" s="367"/>
      <c r="M280" s="367"/>
      <c r="N280" s="367"/>
      <c r="O280" s="367"/>
      <c r="P280" s="367"/>
      <c r="Q280" s="367"/>
      <c r="R280" s="367"/>
      <c r="S280" s="367"/>
      <c r="T280" s="367"/>
      <c r="U280" s="367"/>
      <c r="V280" s="367"/>
      <c r="W280" s="367"/>
      <c r="X280" s="370"/>
      <c r="Y280" s="370"/>
      <c r="Z280" s="367"/>
      <c r="AA280" s="367"/>
      <c r="AB280" s="367"/>
      <c r="AC280" s="367"/>
      <c r="AD280" s="367"/>
      <c r="AE280" s="367"/>
      <c r="AF280" s="367"/>
      <c r="AG280" s="367"/>
      <c r="AH280" s="367"/>
      <c r="AI280" s="367"/>
      <c r="AJ280" s="367"/>
      <c r="AK280" s="367"/>
      <c r="AL280" s="367"/>
      <c r="AM280" s="367"/>
      <c r="AN280" s="367"/>
      <c r="AO280" s="367"/>
      <c r="AP280" s="367"/>
      <c r="AQ280" s="26">
        <f t="shared" ref="AQ280:AQ281" si="250">AT280</f>
        <v>6000</v>
      </c>
      <c r="AR280" s="377"/>
      <c r="AS280" s="376">
        <f>AT280</f>
        <v>6000</v>
      </c>
      <c r="AT280" s="376">
        <v>6000</v>
      </c>
      <c r="AU280" s="371"/>
      <c r="AV280" s="371"/>
      <c r="AW280" s="372"/>
      <c r="AX280" s="386">
        <f>AQ280-AT280</f>
        <v>0</v>
      </c>
      <c r="BC280" s="374"/>
    </row>
    <row r="281" spans="1:55" s="373" customFormat="1" ht="38.25" customHeight="1" x14ac:dyDescent="0.25">
      <c r="A281" s="368">
        <v>3</v>
      </c>
      <c r="B281" s="81" t="s">
        <v>677</v>
      </c>
      <c r="C281" s="369"/>
      <c r="D281" s="369"/>
      <c r="E281" s="369" t="s">
        <v>61</v>
      </c>
      <c r="F281" s="369"/>
      <c r="G281" s="370">
        <v>14000</v>
      </c>
      <c r="H281" s="370">
        <v>14000</v>
      </c>
      <c r="I281" s="367"/>
      <c r="J281" s="367"/>
      <c r="K281" s="367"/>
      <c r="L281" s="367"/>
      <c r="M281" s="367"/>
      <c r="N281" s="367"/>
      <c r="O281" s="367"/>
      <c r="P281" s="367"/>
      <c r="Q281" s="367"/>
      <c r="R281" s="367"/>
      <c r="S281" s="367"/>
      <c r="T281" s="367"/>
      <c r="U281" s="367"/>
      <c r="V281" s="367"/>
      <c r="W281" s="367"/>
      <c r="X281" s="370"/>
      <c r="Y281" s="370"/>
      <c r="Z281" s="367"/>
      <c r="AA281" s="367"/>
      <c r="AB281" s="367"/>
      <c r="AC281" s="367"/>
      <c r="AD281" s="367"/>
      <c r="AE281" s="367"/>
      <c r="AF281" s="367"/>
      <c r="AG281" s="367"/>
      <c r="AH281" s="367"/>
      <c r="AI281" s="367"/>
      <c r="AJ281" s="367"/>
      <c r="AK281" s="367"/>
      <c r="AL281" s="367"/>
      <c r="AM281" s="367"/>
      <c r="AN281" s="367"/>
      <c r="AO281" s="367"/>
      <c r="AP281" s="367"/>
      <c r="AQ281" s="402">
        <f t="shared" si="250"/>
        <v>11827.3</v>
      </c>
      <c r="AR281" s="403"/>
      <c r="AS281" s="404">
        <f>AT281</f>
        <v>11827.3</v>
      </c>
      <c r="AT281" s="404">
        <v>11827.3</v>
      </c>
      <c r="AU281" s="371"/>
      <c r="AV281" s="371"/>
      <c r="AW281" s="372"/>
      <c r="AX281" s="386">
        <f t="shared" ref="AX281:AX288" si="251">AQ281-AT281</f>
        <v>0</v>
      </c>
      <c r="BC281" s="374"/>
    </row>
    <row r="282" spans="1:55" s="410" customFormat="1" ht="29.25" customHeight="1" x14ac:dyDescent="0.25">
      <c r="A282" s="345"/>
      <c r="B282" s="279" t="s">
        <v>592</v>
      </c>
      <c r="C282" s="405"/>
      <c r="D282" s="405"/>
      <c r="E282" s="405"/>
      <c r="F282" s="405"/>
      <c r="G282" s="101">
        <f t="shared" ref="G282:AS282" si="252">G283+G285</f>
        <v>36000</v>
      </c>
      <c r="H282" s="101">
        <f t="shared" si="252"/>
        <v>30804</v>
      </c>
      <c r="I282" s="406">
        <f t="shared" si="252"/>
        <v>0</v>
      </c>
      <c r="J282" s="406">
        <f t="shared" si="252"/>
        <v>0</v>
      </c>
      <c r="K282" s="406">
        <f t="shared" si="252"/>
        <v>0</v>
      </c>
      <c r="L282" s="38">
        <f t="shared" si="252"/>
        <v>0</v>
      </c>
      <c r="M282" s="38">
        <f t="shared" si="252"/>
        <v>0</v>
      </c>
      <c r="N282" s="38">
        <f t="shared" si="252"/>
        <v>0</v>
      </c>
      <c r="O282" s="38">
        <f t="shared" si="252"/>
        <v>0</v>
      </c>
      <c r="P282" s="38">
        <f t="shared" si="252"/>
        <v>0</v>
      </c>
      <c r="Q282" s="38">
        <f t="shared" si="252"/>
        <v>0</v>
      </c>
      <c r="R282" s="38">
        <f t="shared" si="252"/>
        <v>0</v>
      </c>
      <c r="S282" s="38">
        <f t="shared" si="252"/>
        <v>0</v>
      </c>
      <c r="T282" s="38">
        <f t="shared" si="252"/>
        <v>0</v>
      </c>
      <c r="U282" s="38">
        <f t="shared" si="252"/>
        <v>0</v>
      </c>
      <c r="V282" s="38">
        <f t="shared" si="252"/>
        <v>0</v>
      </c>
      <c r="W282" s="38">
        <f t="shared" si="252"/>
        <v>0</v>
      </c>
      <c r="X282" s="38">
        <f t="shared" si="252"/>
        <v>0</v>
      </c>
      <c r="Y282" s="38">
        <f t="shared" si="252"/>
        <v>0</v>
      </c>
      <c r="Z282" s="38">
        <f t="shared" si="252"/>
        <v>0</v>
      </c>
      <c r="AA282" s="38">
        <f t="shared" si="252"/>
        <v>0</v>
      </c>
      <c r="AB282" s="38">
        <f t="shared" si="252"/>
        <v>0</v>
      </c>
      <c r="AC282" s="38">
        <f t="shared" si="252"/>
        <v>0</v>
      </c>
      <c r="AD282" s="38">
        <f t="shared" si="252"/>
        <v>0</v>
      </c>
      <c r="AE282" s="38">
        <f t="shared" si="252"/>
        <v>0</v>
      </c>
      <c r="AF282" s="38">
        <f t="shared" si="252"/>
        <v>0</v>
      </c>
      <c r="AG282" s="38">
        <f t="shared" si="252"/>
        <v>0</v>
      </c>
      <c r="AH282" s="38">
        <f t="shared" si="252"/>
        <v>0</v>
      </c>
      <c r="AI282" s="38">
        <f t="shared" si="252"/>
        <v>0</v>
      </c>
      <c r="AJ282" s="38">
        <f t="shared" si="252"/>
        <v>0</v>
      </c>
      <c r="AK282" s="38">
        <f t="shared" si="252"/>
        <v>0</v>
      </c>
      <c r="AL282" s="38">
        <f t="shared" si="252"/>
        <v>0</v>
      </c>
      <c r="AM282" s="38">
        <f t="shared" si="252"/>
        <v>0</v>
      </c>
      <c r="AN282" s="38">
        <f t="shared" si="252"/>
        <v>0</v>
      </c>
      <c r="AO282" s="38">
        <f t="shared" si="252"/>
        <v>0</v>
      </c>
      <c r="AP282" s="38">
        <f t="shared" si="252"/>
        <v>0</v>
      </c>
      <c r="AQ282" s="101">
        <f t="shared" si="252"/>
        <v>30700</v>
      </c>
      <c r="AR282" s="101">
        <f t="shared" si="252"/>
        <v>0</v>
      </c>
      <c r="AS282" s="101">
        <f t="shared" si="252"/>
        <v>38000</v>
      </c>
      <c r="AT282" s="101">
        <f>AT283+AT285</f>
        <v>30700</v>
      </c>
      <c r="AU282" s="407"/>
      <c r="AV282" s="407"/>
      <c r="AW282" s="408"/>
      <c r="AX282" s="409"/>
      <c r="BC282" s="411"/>
    </row>
    <row r="283" spans="1:55" s="306" customFormat="1" ht="29.25" customHeight="1" x14ac:dyDescent="0.25">
      <c r="A283" s="276" t="s">
        <v>106</v>
      </c>
      <c r="B283" s="277" t="s">
        <v>53</v>
      </c>
      <c r="C283" s="302"/>
      <c r="D283" s="302"/>
      <c r="E283" s="302"/>
      <c r="F283" s="302"/>
      <c r="G283" s="387">
        <f>G284</f>
        <v>5000</v>
      </c>
      <c r="H283" s="387">
        <f t="shared" ref="H283:AT283" si="253">H284</f>
        <v>2717</v>
      </c>
      <c r="I283" s="38">
        <f t="shared" si="253"/>
        <v>0</v>
      </c>
      <c r="J283" s="38">
        <f t="shared" si="253"/>
        <v>0</v>
      </c>
      <c r="K283" s="38">
        <f t="shared" si="253"/>
        <v>0</v>
      </c>
      <c r="L283" s="38">
        <f t="shared" si="253"/>
        <v>0</v>
      </c>
      <c r="M283" s="38">
        <f t="shared" si="253"/>
        <v>0</v>
      </c>
      <c r="N283" s="38">
        <f t="shared" si="253"/>
        <v>0</v>
      </c>
      <c r="O283" s="38">
        <f t="shared" si="253"/>
        <v>0</v>
      </c>
      <c r="P283" s="38">
        <f t="shared" si="253"/>
        <v>0</v>
      </c>
      <c r="Q283" s="38">
        <f t="shared" si="253"/>
        <v>0</v>
      </c>
      <c r="R283" s="38">
        <f t="shared" si="253"/>
        <v>0</v>
      </c>
      <c r="S283" s="38">
        <f t="shared" si="253"/>
        <v>0</v>
      </c>
      <c r="T283" s="38">
        <f t="shared" si="253"/>
        <v>0</v>
      </c>
      <c r="U283" s="38">
        <f t="shared" si="253"/>
        <v>0</v>
      </c>
      <c r="V283" s="38">
        <f t="shared" si="253"/>
        <v>0</v>
      </c>
      <c r="W283" s="38">
        <f t="shared" si="253"/>
        <v>0</v>
      </c>
      <c r="X283" s="38">
        <f t="shared" si="253"/>
        <v>0</v>
      </c>
      <c r="Y283" s="38">
        <f t="shared" si="253"/>
        <v>0</v>
      </c>
      <c r="Z283" s="38">
        <f t="shared" si="253"/>
        <v>0</v>
      </c>
      <c r="AA283" s="38">
        <f t="shared" si="253"/>
        <v>0</v>
      </c>
      <c r="AB283" s="38">
        <f t="shared" si="253"/>
        <v>0</v>
      </c>
      <c r="AC283" s="38">
        <f t="shared" si="253"/>
        <v>0</v>
      </c>
      <c r="AD283" s="38">
        <f t="shared" si="253"/>
        <v>0</v>
      </c>
      <c r="AE283" s="38">
        <f t="shared" si="253"/>
        <v>0</v>
      </c>
      <c r="AF283" s="38">
        <f t="shared" si="253"/>
        <v>0</v>
      </c>
      <c r="AG283" s="38">
        <f t="shared" si="253"/>
        <v>0</v>
      </c>
      <c r="AH283" s="38">
        <f t="shared" si="253"/>
        <v>0</v>
      </c>
      <c r="AI283" s="38">
        <f t="shared" si="253"/>
        <v>0</v>
      </c>
      <c r="AJ283" s="38">
        <f t="shared" si="253"/>
        <v>0</v>
      </c>
      <c r="AK283" s="38">
        <f t="shared" si="253"/>
        <v>0</v>
      </c>
      <c r="AL283" s="38">
        <f t="shared" si="253"/>
        <v>0</v>
      </c>
      <c r="AM283" s="38">
        <f t="shared" si="253"/>
        <v>0</v>
      </c>
      <c r="AN283" s="38">
        <f t="shared" si="253"/>
        <v>0</v>
      </c>
      <c r="AO283" s="38">
        <f t="shared" si="253"/>
        <v>0</v>
      </c>
      <c r="AP283" s="38">
        <f t="shared" si="253"/>
        <v>0</v>
      </c>
      <c r="AQ283" s="387">
        <f t="shared" si="253"/>
        <v>2700</v>
      </c>
      <c r="AR283" s="38">
        <f t="shared" si="253"/>
        <v>0</v>
      </c>
      <c r="AS283" s="387">
        <f t="shared" si="253"/>
        <v>5000</v>
      </c>
      <c r="AT283" s="387">
        <f t="shared" si="253"/>
        <v>2700</v>
      </c>
      <c r="AU283" s="303"/>
      <c r="AV283" s="303"/>
      <c r="AW283" s="304"/>
      <c r="AX283" s="293">
        <f t="shared" si="251"/>
        <v>0</v>
      </c>
      <c r="BC283" s="307"/>
    </row>
    <row r="284" spans="1:55" s="294" customFormat="1" ht="45" x14ac:dyDescent="0.25">
      <c r="A284" s="280">
        <v>1</v>
      </c>
      <c r="B284" s="74" t="s">
        <v>608</v>
      </c>
      <c r="C284" s="389"/>
      <c r="D284" s="389"/>
      <c r="E284" s="389" t="s">
        <v>61</v>
      </c>
      <c r="F284" s="389" t="s">
        <v>638</v>
      </c>
      <c r="G284" s="378">
        <v>5000</v>
      </c>
      <c r="H284" s="378">
        <v>2717</v>
      </c>
      <c r="I284" s="311"/>
      <c r="J284" s="311"/>
      <c r="K284" s="311"/>
      <c r="L284" s="311"/>
      <c r="M284" s="311"/>
      <c r="N284" s="311"/>
      <c r="O284" s="311"/>
      <c r="P284" s="311"/>
      <c r="Q284" s="311"/>
      <c r="R284" s="311"/>
      <c r="S284" s="311"/>
      <c r="T284" s="311"/>
      <c r="U284" s="311"/>
      <c r="V284" s="311"/>
      <c r="W284" s="311"/>
      <c r="X284" s="310"/>
      <c r="Y284" s="310"/>
      <c r="Z284" s="311"/>
      <c r="AA284" s="311"/>
      <c r="AB284" s="311"/>
      <c r="AC284" s="311"/>
      <c r="AD284" s="311"/>
      <c r="AE284" s="311"/>
      <c r="AF284" s="311"/>
      <c r="AG284" s="311"/>
      <c r="AH284" s="311"/>
      <c r="AI284" s="311"/>
      <c r="AJ284" s="311"/>
      <c r="AK284" s="311"/>
      <c r="AL284" s="311"/>
      <c r="AM284" s="311"/>
      <c r="AN284" s="311"/>
      <c r="AO284" s="311"/>
      <c r="AP284" s="311"/>
      <c r="AQ284" s="376">
        <f>AT284</f>
        <v>2700</v>
      </c>
      <c r="AR284" s="95"/>
      <c r="AS284" s="375">
        <v>5000</v>
      </c>
      <c r="AT284" s="376">
        <v>2700</v>
      </c>
      <c r="AU284" s="290"/>
      <c r="AV284" s="290"/>
      <c r="AW284" s="292"/>
      <c r="AX284" s="293">
        <f t="shared" si="251"/>
        <v>0</v>
      </c>
      <c r="BC284" s="295"/>
    </row>
    <row r="285" spans="1:55" s="306" customFormat="1" ht="29.25" customHeight="1" x14ac:dyDescent="0.25">
      <c r="A285" s="276" t="s">
        <v>131</v>
      </c>
      <c r="B285" s="277" t="s">
        <v>86</v>
      </c>
      <c r="C285" s="302"/>
      <c r="D285" s="302"/>
      <c r="E285" s="302"/>
      <c r="F285" s="302"/>
      <c r="G285" s="38">
        <f>SUM(G286:G288)</f>
        <v>31000</v>
      </c>
      <c r="H285" s="38">
        <f t="shared" ref="H285:AP285" si="254">SUM(H286:H288)</f>
        <v>28087</v>
      </c>
      <c r="I285" s="38">
        <f t="shared" si="254"/>
        <v>0</v>
      </c>
      <c r="J285" s="38">
        <f t="shared" si="254"/>
        <v>0</v>
      </c>
      <c r="K285" s="38">
        <f t="shared" si="254"/>
        <v>0</v>
      </c>
      <c r="L285" s="38">
        <f t="shared" si="254"/>
        <v>0</v>
      </c>
      <c r="M285" s="38">
        <f t="shared" si="254"/>
        <v>0</v>
      </c>
      <c r="N285" s="38">
        <f t="shared" si="254"/>
        <v>0</v>
      </c>
      <c r="O285" s="38">
        <f t="shared" si="254"/>
        <v>0</v>
      </c>
      <c r="P285" s="38">
        <f t="shared" si="254"/>
        <v>0</v>
      </c>
      <c r="Q285" s="38">
        <f t="shared" si="254"/>
        <v>0</v>
      </c>
      <c r="R285" s="38">
        <f t="shared" si="254"/>
        <v>0</v>
      </c>
      <c r="S285" s="38">
        <f t="shared" si="254"/>
        <v>0</v>
      </c>
      <c r="T285" s="38">
        <f t="shared" si="254"/>
        <v>0</v>
      </c>
      <c r="U285" s="38">
        <f t="shared" si="254"/>
        <v>0</v>
      </c>
      <c r="V285" s="38">
        <f t="shared" si="254"/>
        <v>0</v>
      </c>
      <c r="W285" s="38">
        <f t="shared" si="254"/>
        <v>0</v>
      </c>
      <c r="X285" s="38">
        <f t="shared" si="254"/>
        <v>0</v>
      </c>
      <c r="Y285" s="38">
        <f t="shared" si="254"/>
        <v>0</v>
      </c>
      <c r="Z285" s="38">
        <f t="shared" si="254"/>
        <v>0</v>
      </c>
      <c r="AA285" s="38">
        <f t="shared" si="254"/>
        <v>0</v>
      </c>
      <c r="AB285" s="38">
        <f t="shared" si="254"/>
        <v>0</v>
      </c>
      <c r="AC285" s="38">
        <f t="shared" si="254"/>
        <v>0</v>
      </c>
      <c r="AD285" s="38">
        <f t="shared" si="254"/>
        <v>0</v>
      </c>
      <c r="AE285" s="38">
        <f t="shared" si="254"/>
        <v>0</v>
      </c>
      <c r="AF285" s="38">
        <f t="shared" si="254"/>
        <v>0</v>
      </c>
      <c r="AG285" s="38">
        <f t="shared" si="254"/>
        <v>0</v>
      </c>
      <c r="AH285" s="38">
        <f t="shared" si="254"/>
        <v>0</v>
      </c>
      <c r="AI285" s="38">
        <f t="shared" si="254"/>
        <v>0</v>
      </c>
      <c r="AJ285" s="38">
        <f t="shared" si="254"/>
        <v>0</v>
      </c>
      <c r="AK285" s="38">
        <f t="shared" si="254"/>
        <v>0</v>
      </c>
      <c r="AL285" s="38">
        <f t="shared" si="254"/>
        <v>0</v>
      </c>
      <c r="AM285" s="38">
        <f t="shared" si="254"/>
        <v>0</v>
      </c>
      <c r="AN285" s="38">
        <f t="shared" si="254"/>
        <v>0</v>
      </c>
      <c r="AO285" s="38">
        <f t="shared" si="254"/>
        <v>0</v>
      </c>
      <c r="AP285" s="38">
        <f t="shared" si="254"/>
        <v>0</v>
      </c>
      <c r="AQ285" s="38">
        <f>SUM(AQ286:AQ289)</f>
        <v>28000</v>
      </c>
      <c r="AR285" s="38">
        <f t="shared" ref="AR285:AS285" si="255">SUM(AR286:AR289)</f>
        <v>0</v>
      </c>
      <c r="AS285" s="38">
        <f t="shared" si="255"/>
        <v>33000</v>
      </c>
      <c r="AT285" s="38">
        <f>SUM(AT286:AT289)</f>
        <v>28000</v>
      </c>
      <c r="AU285" s="303"/>
      <c r="AV285" s="303"/>
      <c r="AW285" s="304"/>
      <c r="AX285" s="293">
        <f t="shared" si="251"/>
        <v>0</v>
      </c>
      <c r="BC285" s="307"/>
    </row>
    <row r="286" spans="1:55" s="294" customFormat="1" ht="47.25" x14ac:dyDescent="0.25">
      <c r="A286" s="280">
        <v>1</v>
      </c>
      <c r="B286" s="74" t="s">
        <v>615</v>
      </c>
      <c r="C286" s="288"/>
      <c r="D286" s="288"/>
      <c r="E286" s="288" t="s">
        <v>61</v>
      </c>
      <c r="F286" s="288" t="s">
        <v>642</v>
      </c>
      <c r="G286" s="378">
        <v>14000</v>
      </c>
      <c r="H286" s="378">
        <v>11087</v>
      </c>
      <c r="I286" s="311"/>
      <c r="J286" s="311"/>
      <c r="K286" s="311"/>
      <c r="L286" s="311"/>
      <c r="M286" s="311"/>
      <c r="N286" s="311"/>
      <c r="O286" s="311"/>
      <c r="P286" s="311"/>
      <c r="Q286" s="311"/>
      <c r="R286" s="311"/>
      <c r="S286" s="311"/>
      <c r="T286" s="311"/>
      <c r="U286" s="311"/>
      <c r="V286" s="311"/>
      <c r="W286" s="311"/>
      <c r="X286" s="310"/>
      <c r="Y286" s="310"/>
      <c r="Z286" s="311"/>
      <c r="AA286" s="311"/>
      <c r="AB286" s="311"/>
      <c r="AC286" s="311"/>
      <c r="AD286" s="311"/>
      <c r="AE286" s="311"/>
      <c r="AF286" s="311"/>
      <c r="AG286" s="311"/>
      <c r="AH286" s="311"/>
      <c r="AI286" s="311"/>
      <c r="AJ286" s="311"/>
      <c r="AK286" s="311"/>
      <c r="AL286" s="311"/>
      <c r="AM286" s="311"/>
      <c r="AN286" s="311"/>
      <c r="AO286" s="311"/>
      <c r="AP286" s="311"/>
      <c r="AQ286" s="375">
        <v>11000</v>
      </c>
      <c r="AR286" s="95"/>
      <c r="AS286" s="375">
        <v>14000</v>
      </c>
      <c r="AT286" s="375">
        <v>11000</v>
      </c>
      <c r="AU286" s="290"/>
      <c r="AV286" s="290"/>
      <c r="AW286" s="292"/>
      <c r="AX286" s="293">
        <f t="shared" si="251"/>
        <v>0</v>
      </c>
      <c r="BC286" s="295"/>
    </row>
    <row r="287" spans="1:55" s="294" customFormat="1" ht="51.75" customHeight="1" x14ac:dyDescent="0.25">
      <c r="A287" s="280">
        <v>2</v>
      </c>
      <c r="B287" s="74" t="s">
        <v>616</v>
      </c>
      <c r="C287" s="288"/>
      <c r="D287" s="288"/>
      <c r="E287" s="288" t="s">
        <v>61</v>
      </c>
      <c r="F287" s="288"/>
      <c r="G287" s="378">
        <v>9000</v>
      </c>
      <c r="H287" s="378">
        <v>9000</v>
      </c>
      <c r="I287" s="311"/>
      <c r="J287" s="311"/>
      <c r="K287" s="311"/>
      <c r="L287" s="311"/>
      <c r="M287" s="311"/>
      <c r="N287" s="311"/>
      <c r="O287" s="311"/>
      <c r="P287" s="311"/>
      <c r="Q287" s="311"/>
      <c r="R287" s="311"/>
      <c r="S287" s="311"/>
      <c r="T287" s="311"/>
      <c r="U287" s="311"/>
      <c r="V287" s="311"/>
      <c r="W287" s="311"/>
      <c r="X287" s="310"/>
      <c r="Y287" s="310"/>
      <c r="Z287" s="311"/>
      <c r="AA287" s="311"/>
      <c r="AB287" s="311"/>
      <c r="AC287" s="311"/>
      <c r="AD287" s="311"/>
      <c r="AE287" s="311"/>
      <c r="AF287" s="311"/>
      <c r="AG287" s="311"/>
      <c r="AH287" s="311"/>
      <c r="AI287" s="311"/>
      <c r="AJ287" s="311"/>
      <c r="AK287" s="311"/>
      <c r="AL287" s="311"/>
      <c r="AM287" s="311"/>
      <c r="AN287" s="311"/>
      <c r="AO287" s="311"/>
      <c r="AP287" s="311"/>
      <c r="AQ287" s="414">
        <v>8000</v>
      </c>
      <c r="AR287" s="415"/>
      <c r="AS287" s="414">
        <v>9000</v>
      </c>
      <c r="AT287" s="414">
        <f>+AQ287</f>
        <v>8000</v>
      </c>
      <c r="AU287" s="290"/>
      <c r="AV287" s="290"/>
      <c r="AW287" s="292"/>
      <c r="AX287" s="293">
        <f t="shared" si="251"/>
        <v>0</v>
      </c>
      <c r="BC287" s="295"/>
    </row>
    <row r="288" spans="1:55" s="294" customFormat="1" ht="47.25" x14ac:dyDescent="0.25">
      <c r="A288" s="280">
        <v>3</v>
      </c>
      <c r="B288" s="74" t="s">
        <v>617</v>
      </c>
      <c r="C288" s="288"/>
      <c r="D288" s="288"/>
      <c r="E288" s="288" t="s">
        <v>61</v>
      </c>
      <c r="F288" s="288"/>
      <c r="G288" s="378">
        <v>8000</v>
      </c>
      <c r="H288" s="378">
        <v>8000</v>
      </c>
      <c r="I288" s="311"/>
      <c r="J288" s="311"/>
      <c r="K288" s="311"/>
      <c r="L288" s="311"/>
      <c r="M288" s="311"/>
      <c r="N288" s="311"/>
      <c r="O288" s="311"/>
      <c r="P288" s="311"/>
      <c r="Q288" s="311"/>
      <c r="R288" s="311"/>
      <c r="S288" s="311"/>
      <c r="T288" s="311"/>
      <c r="U288" s="311"/>
      <c r="V288" s="311"/>
      <c r="W288" s="311"/>
      <c r="X288" s="310"/>
      <c r="Y288" s="310"/>
      <c r="Z288" s="311"/>
      <c r="AA288" s="311"/>
      <c r="AB288" s="311"/>
      <c r="AC288" s="311"/>
      <c r="AD288" s="311"/>
      <c r="AE288" s="311"/>
      <c r="AF288" s="311"/>
      <c r="AG288" s="311"/>
      <c r="AH288" s="311"/>
      <c r="AI288" s="311"/>
      <c r="AJ288" s="311"/>
      <c r="AK288" s="311"/>
      <c r="AL288" s="311"/>
      <c r="AM288" s="311"/>
      <c r="AN288" s="311"/>
      <c r="AO288" s="311"/>
      <c r="AP288" s="311"/>
      <c r="AQ288" s="414">
        <v>7000</v>
      </c>
      <c r="AR288" s="415"/>
      <c r="AS288" s="414">
        <v>8000</v>
      </c>
      <c r="AT288" s="414">
        <f>+AQ288</f>
        <v>7000</v>
      </c>
      <c r="AU288" s="290"/>
      <c r="AV288" s="290"/>
      <c r="AW288" s="292"/>
      <c r="AX288" s="293">
        <f t="shared" si="251"/>
        <v>0</v>
      </c>
      <c r="BC288" s="295"/>
    </row>
    <row r="289" spans="1:55" s="294" customFormat="1" ht="48.75" customHeight="1" x14ac:dyDescent="0.25">
      <c r="A289" s="280">
        <v>4</v>
      </c>
      <c r="B289" s="74" t="s">
        <v>673</v>
      </c>
      <c r="C289" s="382"/>
      <c r="D289" s="382"/>
      <c r="E289" s="382" t="s">
        <v>78</v>
      </c>
      <c r="F289" s="382" t="s">
        <v>674</v>
      </c>
      <c r="G289" s="378">
        <v>12000</v>
      </c>
      <c r="H289" s="378">
        <v>2000</v>
      </c>
      <c r="I289" s="311"/>
      <c r="J289" s="311"/>
      <c r="K289" s="311"/>
      <c r="L289" s="311"/>
      <c r="M289" s="311"/>
      <c r="N289" s="311"/>
      <c r="O289" s="311"/>
      <c r="P289" s="311"/>
      <c r="Q289" s="311"/>
      <c r="R289" s="311"/>
      <c r="S289" s="311"/>
      <c r="T289" s="311"/>
      <c r="U289" s="311"/>
      <c r="V289" s="311"/>
      <c r="W289" s="311"/>
      <c r="X289" s="310"/>
      <c r="Y289" s="310"/>
      <c r="Z289" s="311"/>
      <c r="AA289" s="311"/>
      <c r="AB289" s="311"/>
      <c r="AC289" s="311"/>
      <c r="AD289" s="311"/>
      <c r="AE289" s="311"/>
      <c r="AF289" s="311"/>
      <c r="AG289" s="311"/>
      <c r="AH289" s="311"/>
      <c r="AI289" s="311"/>
      <c r="AJ289" s="311"/>
      <c r="AK289" s="311"/>
      <c r="AL289" s="311"/>
      <c r="AM289" s="311"/>
      <c r="AN289" s="311"/>
      <c r="AO289" s="311"/>
      <c r="AP289" s="311"/>
      <c r="AQ289" s="375">
        <v>2000</v>
      </c>
      <c r="AR289" s="95"/>
      <c r="AS289" s="375">
        <f>AT289</f>
        <v>2000</v>
      </c>
      <c r="AT289" s="375">
        <f>AN289+AQ289</f>
        <v>2000</v>
      </c>
      <c r="AU289" s="290"/>
      <c r="AV289" s="290"/>
      <c r="AW289" s="385"/>
      <c r="AX289" s="293">
        <f>AQ289-AT289</f>
        <v>0</v>
      </c>
      <c r="BC289" s="295"/>
    </row>
  </sheetData>
  <mergeCells count="89">
    <mergeCell ref="A1:AW1"/>
    <mergeCell ref="A2:AW2"/>
    <mergeCell ref="A3:AW3"/>
    <mergeCell ref="A4:AW4"/>
    <mergeCell ref="A5:AW5"/>
    <mergeCell ref="F6:H7"/>
    <mergeCell ref="I6:K7"/>
    <mergeCell ref="L6:M7"/>
    <mergeCell ref="N6:O7"/>
    <mergeCell ref="X6:AA7"/>
    <mergeCell ref="AM6:AP7"/>
    <mergeCell ref="AW6:AW12"/>
    <mergeCell ref="P7:S7"/>
    <mergeCell ref="T7:W7"/>
    <mergeCell ref="AB7:AC8"/>
    <mergeCell ref="AD7:AG7"/>
    <mergeCell ref="AH7:AJ7"/>
    <mergeCell ref="X8:X12"/>
    <mergeCell ref="Y8:AA8"/>
    <mergeCell ref="AD8:AD12"/>
    <mergeCell ref="AK6:AL7"/>
    <mergeCell ref="AN8:AP8"/>
    <mergeCell ref="R9:S9"/>
    <mergeCell ref="AI8:AJ8"/>
    <mergeCell ref="AH8:AH12"/>
    <mergeCell ref="V9:W9"/>
    <mergeCell ref="U9:U12"/>
    <mergeCell ref="A58:B58"/>
    <mergeCell ref="N8:N12"/>
    <mergeCell ref="O8:O12"/>
    <mergeCell ref="P8:P12"/>
    <mergeCell ref="Q8:S8"/>
    <mergeCell ref="T8:T12"/>
    <mergeCell ref="U8:W8"/>
    <mergeCell ref="F8:F12"/>
    <mergeCell ref="G8:H8"/>
    <mergeCell ref="I8:I12"/>
    <mergeCell ref="R10:R12"/>
    <mergeCell ref="G9:G12"/>
    <mergeCell ref="H9:H12"/>
    <mergeCell ref="J9:J12"/>
    <mergeCell ref="K9:K12"/>
    <mergeCell ref="J8:K8"/>
    <mergeCell ref="L8:L12"/>
    <mergeCell ref="M8:M12"/>
    <mergeCell ref="A87:B87"/>
    <mergeCell ref="Q9:Q12"/>
    <mergeCell ref="Y9:Y12"/>
    <mergeCell ref="AE8:AG8"/>
    <mergeCell ref="A22:B22"/>
    <mergeCell ref="A6:A12"/>
    <mergeCell ref="B6:B12"/>
    <mergeCell ref="C6:C12"/>
    <mergeCell ref="D6:D12"/>
    <mergeCell ref="E6:E12"/>
    <mergeCell ref="AF10:AF12"/>
    <mergeCell ref="AG10:AG12"/>
    <mergeCell ref="Z9:AA9"/>
    <mergeCell ref="AB9:AB12"/>
    <mergeCell ref="AC9:AC12"/>
    <mergeCell ref="AE9:AE12"/>
    <mergeCell ref="AF9:AG9"/>
    <mergeCell ref="S10:S12"/>
    <mergeCell ref="A116:B116"/>
    <mergeCell ref="AX156:AY157"/>
    <mergeCell ref="A160:B160"/>
    <mergeCell ref="V10:V12"/>
    <mergeCell ref="W10:W12"/>
    <mergeCell ref="Z10:Z12"/>
    <mergeCell ref="AA10:AA12"/>
    <mergeCell ref="AI9:AI12"/>
    <mergeCell ref="AJ9:AJ12"/>
    <mergeCell ref="AN9:AN12"/>
    <mergeCell ref="AO9:AP9"/>
    <mergeCell ref="AO10:AO12"/>
    <mergeCell ref="AP10:AP12"/>
    <mergeCell ref="AK8:AK12"/>
    <mergeCell ref="AL8:AL12"/>
    <mergeCell ref="AM8:AM12"/>
    <mergeCell ref="AQ6:AR7"/>
    <mergeCell ref="AS6:AV7"/>
    <mergeCell ref="AQ8:AQ12"/>
    <mergeCell ref="AR8:AR12"/>
    <mergeCell ref="AS8:AS12"/>
    <mergeCell ref="AT8:AV8"/>
    <mergeCell ref="AT9:AT12"/>
    <mergeCell ref="AU9:AV9"/>
    <mergeCell ref="AU10:AU12"/>
    <mergeCell ref="AV10:AV12"/>
  </mergeCells>
  <pageMargins left="0.7" right="0.35" top="0.47" bottom="0.4" header="0.3" footer="0.26"/>
  <pageSetup paperSize="8" scale="6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BE342"/>
  <sheetViews>
    <sheetView tabSelected="1" view="pageBreakPreview" topLeftCell="A253" zoomScale="70" zoomScaleNormal="55" zoomScaleSheetLayoutView="70" workbookViewId="0">
      <selection activeCell="AW315" sqref="AW315"/>
    </sheetView>
  </sheetViews>
  <sheetFormatPr defaultRowHeight="15.75" x14ac:dyDescent="0.25"/>
  <cols>
    <col min="1" max="1" width="7" style="312" customWidth="1"/>
    <col min="2" max="2" width="33.85546875" style="124" customWidth="1"/>
    <col min="3" max="3" width="9.42578125" style="313" hidden="1" customWidth="1"/>
    <col min="4" max="4" width="9.85546875" style="313" hidden="1" customWidth="1"/>
    <col min="5" max="5" width="7.42578125" style="313" hidden="1" customWidth="1"/>
    <col min="6" max="6" width="12.140625" style="313" hidden="1" customWidth="1"/>
    <col min="7" max="7" width="15.5703125" style="314" hidden="1" customWidth="1"/>
    <col min="8" max="8" width="15" style="314" hidden="1" customWidth="1"/>
    <col min="9" max="9" width="11.85546875" style="314" hidden="1" customWidth="1"/>
    <col min="10" max="10" width="11.140625" style="314" hidden="1" customWidth="1"/>
    <col min="11" max="11" width="9.42578125" style="314" hidden="1" customWidth="1"/>
    <col min="12" max="12" width="13.140625" style="314" hidden="1" customWidth="1"/>
    <col min="13" max="15" width="13.42578125" style="314" hidden="1" customWidth="1"/>
    <col min="16" max="16" width="11.85546875" style="314" hidden="1" customWidth="1"/>
    <col min="17" max="17" width="11.5703125" style="314" hidden="1" customWidth="1"/>
    <col min="18" max="19" width="9" style="314" hidden="1" customWidth="1"/>
    <col min="20" max="20" width="10.42578125" style="314" hidden="1" customWidth="1"/>
    <col min="21" max="21" width="11.85546875" style="314" hidden="1" customWidth="1"/>
    <col min="22" max="22" width="9.42578125" style="314" hidden="1" customWidth="1"/>
    <col min="23" max="23" width="8" style="314" hidden="1" customWidth="1"/>
    <col min="24" max="24" width="14.42578125" style="314" hidden="1" customWidth="1"/>
    <col min="25" max="25" width="13.42578125" style="314" hidden="1" customWidth="1"/>
    <col min="26" max="26" width="13.85546875" style="314" hidden="1" customWidth="1"/>
    <col min="27" max="27" width="11" style="314" hidden="1" customWidth="1"/>
    <col min="28" max="28" width="9.42578125" style="314" hidden="1" customWidth="1"/>
    <col min="29" max="29" width="11" style="314" hidden="1" customWidth="1"/>
    <col min="30" max="31" width="10.85546875" style="314" hidden="1" customWidth="1"/>
    <col min="32" max="32" width="8.85546875" style="314" hidden="1" customWidth="1"/>
    <col min="33" max="33" width="7.42578125" style="314" hidden="1" customWidth="1"/>
    <col min="34" max="35" width="10.5703125" style="314" hidden="1" customWidth="1"/>
    <col min="36" max="36" width="12.42578125" style="314" hidden="1" customWidth="1"/>
    <col min="37" max="37" width="12" style="314" hidden="1" customWidth="1"/>
    <col min="38" max="38" width="15.42578125" style="314" hidden="1" customWidth="1"/>
    <col min="39" max="40" width="15.42578125" style="314" customWidth="1"/>
    <col min="41" max="41" width="14.140625" style="314" customWidth="1"/>
    <col min="42" max="42" width="13.42578125" style="314" customWidth="1"/>
    <col min="43" max="43" width="15.5703125" style="314" customWidth="1"/>
    <col min="44" max="44" width="13" style="314" customWidth="1"/>
    <col min="45" max="45" width="14.5703125" style="314" customWidth="1"/>
    <col min="46" max="46" width="16.7109375" style="314" customWidth="1"/>
    <col min="47" max="47" width="13.42578125" style="314" customWidth="1"/>
    <col min="48" max="48" width="12" style="314" customWidth="1"/>
    <col min="49" max="49" width="18.42578125" style="640" customWidth="1"/>
    <col min="50" max="50" width="13.42578125" style="314" customWidth="1"/>
    <col min="51" max="51" width="15.5703125" style="119" customWidth="1"/>
    <col min="52" max="53" width="12.85546875" style="119" customWidth="1"/>
    <col min="54" max="54" width="10" style="119" customWidth="1"/>
    <col min="55" max="55" width="11.140625" style="119" bestFit="1" customWidth="1"/>
    <col min="56" max="56" width="9.140625" style="119"/>
    <col min="57" max="57" width="9.28515625" style="119" bestFit="1" customWidth="1"/>
    <col min="58" max="16384" width="9.140625" style="119"/>
  </cols>
  <sheetData>
    <row r="1" spans="1:57" ht="20.45" customHeight="1" x14ac:dyDescent="0.25">
      <c r="A1" s="848" t="s">
        <v>0</v>
      </c>
      <c r="B1" s="848"/>
      <c r="C1" s="848"/>
      <c r="D1" s="848"/>
      <c r="E1" s="848"/>
      <c r="F1" s="848"/>
      <c r="G1" s="848"/>
      <c r="H1" s="848"/>
      <c r="I1" s="848"/>
      <c r="J1" s="848"/>
      <c r="K1" s="848"/>
      <c r="L1" s="848"/>
      <c r="M1" s="848"/>
      <c r="N1" s="848"/>
      <c r="O1" s="848"/>
      <c r="P1" s="848"/>
      <c r="Q1" s="848"/>
      <c r="R1" s="848"/>
      <c r="S1" s="848"/>
      <c r="T1" s="848"/>
      <c r="U1" s="848"/>
      <c r="V1" s="848"/>
      <c r="W1" s="848"/>
      <c r="X1" s="848"/>
      <c r="Y1" s="848"/>
      <c r="Z1" s="848"/>
      <c r="AA1" s="848"/>
      <c r="AB1" s="848"/>
      <c r="AC1" s="848"/>
      <c r="AD1" s="848"/>
      <c r="AE1" s="848"/>
      <c r="AF1" s="848"/>
      <c r="AG1" s="848"/>
      <c r="AH1" s="848"/>
      <c r="AI1" s="848"/>
      <c r="AJ1" s="848"/>
      <c r="AK1" s="848"/>
      <c r="AL1" s="848"/>
      <c r="AM1" s="848"/>
      <c r="AN1" s="848"/>
      <c r="AO1" s="848"/>
      <c r="AP1" s="848"/>
      <c r="AQ1" s="848"/>
      <c r="AR1" s="848"/>
      <c r="AS1" s="848"/>
      <c r="AT1" s="848"/>
      <c r="AU1" s="848"/>
      <c r="AV1" s="848"/>
      <c r="AW1" s="848"/>
      <c r="AX1" s="641"/>
    </row>
    <row r="2" spans="1:57" ht="25.5" customHeight="1" x14ac:dyDescent="0.25">
      <c r="A2" s="849" t="s">
        <v>2093</v>
      </c>
      <c r="B2" s="849"/>
      <c r="C2" s="849"/>
      <c r="D2" s="849"/>
      <c r="E2" s="849"/>
      <c r="F2" s="849"/>
      <c r="G2" s="849"/>
      <c r="H2" s="849"/>
      <c r="I2" s="849"/>
      <c r="J2" s="849"/>
      <c r="K2" s="849"/>
      <c r="L2" s="849"/>
      <c r="M2" s="849"/>
      <c r="N2" s="849"/>
      <c r="O2" s="849"/>
      <c r="P2" s="849"/>
      <c r="Q2" s="849"/>
      <c r="R2" s="849"/>
      <c r="S2" s="849"/>
      <c r="T2" s="849"/>
      <c r="U2" s="849"/>
      <c r="V2" s="849"/>
      <c r="W2" s="849"/>
      <c r="X2" s="849"/>
      <c r="Y2" s="849"/>
      <c r="Z2" s="849"/>
      <c r="AA2" s="849"/>
      <c r="AB2" s="849"/>
      <c r="AC2" s="849"/>
      <c r="AD2" s="849"/>
      <c r="AE2" s="849"/>
      <c r="AF2" s="849"/>
      <c r="AG2" s="849"/>
      <c r="AH2" s="849"/>
      <c r="AI2" s="849"/>
      <c r="AJ2" s="849"/>
      <c r="AK2" s="849"/>
      <c r="AL2" s="849"/>
      <c r="AM2" s="849"/>
      <c r="AN2" s="849"/>
      <c r="AO2" s="849"/>
      <c r="AP2" s="849"/>
      <c r="AQ2" s="849"/>
      <c r="AR2" s="849"/>
      <c r="AS2" s="849"/>
      <c r="AT2" s="849"/>
      <c r="AU2" s="849"/>
      <c r="AV2" s="849"/>
      <c r="AW2" s="849"/>
      <c r="AX2" s="642"/>
    </row>
    <row r="3" spans="1:57" s="124" customFormat="1" ht="30" customHeight="1" x14ac:dyDescent="0.25">
      <c r="A3" s="850" t="s">
        <v>2094</v>
      </c>
      <c r="B3" s="850"/>
      <c r="C3" s="850"/>
      <c r="D3" s="850"/>
      <c r="E3" s="850"/>
      <c r="F3" s="850"/>
      <c r="G3" s="850"/>
      <c r="H3" s="850"/>
      <c r="I3" s="850"/>
      <c r="J3" s="850"/>
      <c r="K3" s="850"/>
      <c r="L3" s="850"/>
      <c r="M3" s="850"/>
      <c r="N3" s="850"/>
      <c r="O3" s="850"/>
      <c r="P3" s="850"/>
      <c r="Q3" s="850"/>
      <c r="R3" s="850"/>
      <c r="S3" s="850"/>
      <c r="T3" s="850"/>
      <c r="U3" s="850"/>
      <c r="V3" s="850"/>
      <c r="W3" s="850"/>
      <c r="X3" s="850"/>
      <c r="Y3" s="850"/>
      <c r="Z3" s="850"/>
      <c r="AA3" s="850"/>
      <c r="AB3" s="850"/>
      <c r="AC3" s="850"/>
      <c r="AD3" s="850"/>
      <c r="AE3" s="850"/>
      <c r="AF3" s="850"/>
      <c r="AG3" s="850"/>
      <c r="AH3" s="850"/>
      <c r="AI3" s="850"/>
      <c r="AJ3" s="850"/>
      <c r="AK3" s="850"/>
      <c r="AL3" s="850"/>
      <c r="AM3" s="850"/>
      <c r="AN3" s="850"/>
      <c r="AO3" s="850"/>
      <c r="AP3" s="850"/>
      <c r="AQ3" s="850"/>
      <c r="AR3" s="850"/>
      <c r="AS3" s="850"/>
      <c r="AT3" s="850"/>
      <c r="AU3" s="850"/>
      <c r="AV3" s="850"/>
      <c r="AW3" s="850"/>
      <c r="AX3" s="644"/>
    </row>
    <row r="4" spans="1:57" s="124" customFormat="1" ht="24.75" customHeight="1" x14ac:dyDescent="0.25">
      <c r="A4" s="851" t="s">
        <v>671</v>
      </c>
      <c r="B4" s="851"/>
      <c r="C4" s="851"/>
      <c r="D4" s="851"/>
      <c r="E4" s="851"/>
      <c r="F4" s="851"/>
      <c r="G4" s="851"/>
      <c r="H4" s="851"/>
      <c r="I4" s="851"/>
      <c r="J4" s="851"/>
      <c r="K4" s="851"/>
      <c r="L4" s="851"/>
      <c r="M4" s="851"/>
      <c r="N4" s="851"/>
      <c r="O4" s="851"/>
      <c r="P4" s="851"/>
      <c r="Q4" s="851"/>
      <c r="R4" s="851"/>
      <c r="S4" s="851"/>
      <c r="T4" s="851"/>
      <c r="U4" s="851"/>
      <c r="V4" s="851"/>
      <c r="W4" s="851"/>
      <c r="X4" s="851"/>
      <c r="Y4" s="851"/>
      <c r="Z4" s="851"/>
      <c r="AA4" s="851"/>
      <c r="AB4" s="851"/>
      <c r="AC4" s="851"/>
      <c r="AD4" s="851"/>
      <c r="AE4" s="851"/>
      <c r="AF4" s="851"/>
      <c r="AG4" s="851"/>
      <c r="AH4" s="851"/>
      <c r="AI4" s="851"/>
      <c r="AJ4" s="851"/>
      <c r="AK4" s="851"/>
      <c r="AL4" s="851"/>
      <c r="AM4" s="851"/>
      <c r="AN4" s="851"/>
      <c r="AO4" s="851"/>
      <c r="AP4" s="851"/>
      <c r="AQ4" s="851"/>
      <c r="AR4" s="851"/>
      <c r="AS4" s="851"/>
      <c r="AT4" s="851"/>
      <c r="AU4" s="851"/>
      <c r="AV4" s="851"/>
      <c r="AW4" s="851"/>
      <c r="AX4" s="645"/>
    </row>
    <row r="5" spans="1:57" s="124" customFormat="1" ht="21" customHeight="1" x14ac:dyDescent="0.25">
      <c r="A5" s="852" t="s">
        <v>1</v>
      </c>
      <c r="B5" s="852"/>
      <c r="C5" s="852"/>
      <c r="D5" s="852"/>
      <c r="E5" s="852"/>
      <c r="F5" s="852"/>
      <c r="G5" s="852"/>
      <c r="H5" s="852"/>
      <c r="I5" s="852"/>
      <c r="J5" s="852"/>
      <c r="K5" s="852"/>
      <c r="L5" s="852"/>
      <c r="M5" s="852"/>
      <c r="N5" s="852"/>
      <c r="O5" s="852"/>
      <c r="P5" s="852"/>
      <c r="Q5" s="852"/>
      <c r="R5" s="852"/>
      <c r="S5" s="852"/>
      <c r="T5" s="852"/>
      <c r="U5" s="852"/>
      <c r="V5" s="852"/>
      <c r="W5" s="852"/>
      <c r="X5" s="852"/>
      <c r="Y5" s="852"/>
      <c r="Z5" s="852"/>
      <c r="AA5" s="852"/>
      <c r="AB5" s="852"/>
      <c r="AC5" s="852"/>
      <c r="AD5" s="852"/>
      <c r="AE5" s="852"/>
      <c r="AF5" s="852"/>
      <c r="AG5" s="852"/>
      <c r="AH5" s="852"/>
      <c r="AI5" s="852"/>
      <c r="AJ5" s="852"/>
      <c r="AK5" s="852"/>
      <c r="AL5" s="852"/>
      <c r="AM5" s="852"/>
      <c r="AN5" s="852"/>
      <c r="AO5" s="852"/>
      <c r="AP5" s="852"/>
      <c r="AQ5" s="852"/>
      <c r="AR5" s="852"/>
      <c r="AS5" s="852"/>
      <c r="AT5" s="852"/>
      <c r="AU5" s="852"/>
      <c r="AV5" s="852"/>
      <c r="AW5" s="852"/>
      <c r="AX5" s="416"/>
    </row>
    <row r="6" spans="1:57" s="124" customFormat="1" ht="34.5" customHeight="1" x14ac:dyDescent="0.25">
      <c r="A6" s="824" t="s">
        <v>2</v>
      </c>
      <c r="B6" s="824" t="s">
        <v>3</v>
      </c>
      <c r="C6" s="824" t="s">
        <v>4</v>
      </c>
      <c r="D6" s="824" t="s">
        <v>5</v>
      </c>
      <c r="E6" s="824" t="s">
        <v>6</v>
      </c>
      <c r="F6" s="824" t="s">
        <v>7</v>
      </c>
      <c r="G6" s="824"/>
      <c r="H6" s="824"/>
      <c r="I6" s="824" t="s">
        <v>8</v>
      </c>
      <c r="J6" s="824"/>
      <c r="K6" s="824"/>
      <c r="L6" s="824" t="s">
        <v>683</v>
      </c>
      <c r="M6" s="824"/>
      <c r="N6" s="824" t="s">
        <v>10</v>
      </c>
      <c r="O6" s="824"/>
      <c r="P6" s="417"/>
      <c r="Q6" s="418"/>
      <c r="R6" s="418"/>
      <c r="S6" s="418"/>
      <c r="T6" s="418"/>
      <c r="U6" s="418"/>
      <c r="V6" s="418"/>
      <c r="W6" s="418"/>
      <c r="X6" s="846" t="s">
        <v>11</v>
      </c>
      <c r="Y6" s="846"/>
      <c r="Z6" s="846"/>
      <c r="AA6" s="846"/>
      <c r="AB6" s="418"/>
      <c r="AC6" s="418"/>
      <c r="AD6" s="418"/>
      <c r="AE6" s="418"/>
      <c r="AF6" s="418"/>
      <c r="AG6" s="418"/>
      <c r="AH6" s="418"/>
      <c r="AI6" s="418"/>
      <c r="AJ6" s="419"/>
      <c r="AK6" s="838" t="s">
        <v>12</v>
      </c>
      <c r="AL6" s="838"/>
      <c r="AM6" s="824" t="s">
        <v>2097</v>
      </c>
      <c r="AN6" s="824"/>
      <c r="AO6" s="824"/>
      <c r="AP6" s="824"/>
      <c r="AQ6" s="838" t="s">
        <v>12</v>
      </c>
      <c r="AR6" s="838"/>
      <c r="AS6" s="824" t="s">
        <v>13</v>
      </c>
      <c r="AT6" s="824"/>
      <c r="AU6" s="824"/>
      <c r="AV6" s="824"/>
      <c r="AW6" s="839" t="s">
        <v>14</v>
      </c>
      <c r="AX6" s="420"/>
      <c r="AZ6" s="10" t="s">
        <v>15</v>
      </c>
      <c r="BA6" s="10" t="s">
        <v>16</v>
      </c>
      <c r="BB6" s="10" t="s">
        <v>17</v>
      </c>
    </row>
    <row r="7" spans="1:57" s="420" customFormat="1" ht="23.25" customHeight="1" x14ac:dyDescent="0.25">
      <c r="A7" s="824"/>
      <c r="B7" s="824"/>
      <c r="C7" s="824"/>
      <c r="D7" s="824"/>
      <c r="E7" s="824"/>
      <c r="F7" s="824"/>
      <c r="G7" s="824"/>
      <c r="H7" s="824"/>
      <c r="I7" s="824"/>
      <c r="J7" s="824"/>
      <c r="K7" s="824"/>
      <c r="L7" s="824"/>
      <c r="M7" s="824"/>
      <c r="N7" s="824"/>
      <c r="O7" s="824"/>
      <c r="P7" s="824" t="s">
        <v>18</v>
      </c>
      <c r="Q7" s="824"/>
      <c r="R7" s="824"/>
      <c r="S7" s="824"/>
      <c r="T7" s="824" t="s">
        <v>19</v>
      </c>
      <c r="U7" s="824"/>
      <c r="V7" s="824"/>
      <c r="W7" s="824"/>
      <c r="X7" s="847"/>
      <c r="Y7" s="847"/>
      <c r="Z7" s="847"/>
      <c r="AA7" s="847"/>
      <c r="AB7" s="842" t="s">
        <v>20</v>
      </c>
      <c r="AC7" s="843"/>
      <c r="AD7" s="824" t="s">
        <v>21</v>
      </c>
      <c r="AE7" s="824"/>
      <c r="AF7" s="824"/>
      <c r="AG7" s="824"/>
      <c r="AH7" s="824" t="s">
        <v>22</v>
      </c>
      <c r="AI7" s="824"/>
      <c r="AJ7" s="824"/>
      <c r="AK7" s="838"/>
      <c r="AL7" s="838"/>
      <c r="AM7" s="824"/>
      <c r="AN7" s="824"/>
      <c r="AO7" s="824"/>
      <c r="AP7" s="824"/>
      <c r="AQ7" s="838"/>
      <c r="AR7" s="838"/>
      <c r="AS7" s="824"/>
      <c r="AT7" s="824"/>
      <c r="AU7" s="824"/>
      <c r="AV7" s="824"/>
      <c r="AW7" s="840"/>
      <c r="AX7" s="421" t="s">
        <v>675</v>
      </c>
      <c r="AZ7" s="422" t="e">
        <f>SUM(#REF!)</f>
        <v>#REF!</v>
      </c>
      <c r="BA7" s="422" t="e">
        <f>SUM(#REF!)</f>
        <v>#REF!</v>
      </c>
      <c r="BB7" s="422" t="e">
        <f>SUM(#REF!)</f>
        <v>#REF!</v>
      </c>
    </row>
    <row r="8" spans="1:57" s="420" customFormat="1" ht="21.75" customHeight="1" x14ac:dyDescent="0.25">
      <c r="A8" s="824"/>
      <c r="B8" s="824"/>
      <c r="C8" s="824"/>
      <c r="D8" s="824"/>
      <c r="E8" s="824"/>
      <c r="F8" s="824" t="s">
        <v>23</v>
      </c>
      <c r="G8" s="824" t="s">
        <v>24</v>
      </c>
      <c r="H8" s="824"/>
      <c r="I8" s="824" t="s">
        <v>23</v>
      </c>
      <c r="J8" s="824" t="s">
        <v>24</v>
      </c>
      <c r="K8" s="824"/>
      <c r="L8" s="824" t="s">
        <v>25</v>
      </c>
      <c r="M8" s="835" t="s">
        <v>26</v>
      </c>
      <c r="N8" s="824" t="s">
        <v>25</v>
      </c>
      <c r="O8" s="835" t="s">
        <v>26</v>
      </c>
      <c r="P8" s="824" t="s">
        <v>25</v>
      </c>
      <c r="Q8" s="824" t="s">
        <v>26</v>
      </c>
      <c r="R8" s="824"/>
      <c r="S8" s="824"/>
      <c r="T8" s="824" t="s">
        <v>25</v>
      </c>
      <c r="U8" s="824" t="s">
        <v>26</v>
      </c>
      <c r="V8" s="824"/>
      <c r="W8" s="824"/>
      <c r="X8" s="824" t="s">
        <v>25</v>
      </c>
      <c r="Y8" s="824" t="s">
        <v>26</v>
      </c>
      <c r="Z8" s="824"/>
      <c r="AA8" s="824"/>
      <c r="AB8" s="844"/>
      <c r="AC8" s="845"/>
      <c r="AD8" s="824" t="s">
        <v>25</v>
      </c>
      <c r="AE8" s="824" t="s">
        <v>26</v>
      </c>
      <c r="AF8" s="824"/>
      <c r="AG8" s="824"/>
      <c r="AH8" s="824" t="s">
        <v>25</v>
      </c>
      <c r="AI8" s="833" t="s">
        <v>26</v>
      </c>
      <c r="AJ8" s="834"/>
      <c r="AK8" s="828" t="s">
        <v>27</v>
      </c>
      <c r="AL8" s="828" t="s">
        <v>28</v>
      </c>
      <c r="AM8" s="824" t="s">
        <v>25</v>
      </c>
      <c r="AN8" s="824" t="s">
        <v>26</v>
      </c>
      <c r="AO8" s="824"/>
      <c r="AP8" s="824"/>
      <c r="AQ8" s="828" t="s">
        <v>27</v>
      </c>
      <c r="AR8" s="828" t="s">
        <v>28</v>
      </c>
      <c r="AS8" s="824" t="s">
        <v>25</v>
      </c>
      <c r="AT8" s="824" t="s">
        <v>26</v>
      </c>
      <c r="AU8" s="824"/>
      <c r="AV8" s="824"/>
      <c r="AW8" s="840"/>
    </row>
    <row r="9" spans="1:57" s="420" customFormat="1" ht="21" customHeight="1" x14ac:dyDescent="0.25">
      <c r="A9" s="824"/>
      <c r="B9" s="824"/>
      <c r="C9" s="824"/>
      <c r="D9" s="824"/>
      <c r="E9" s="824"/>
      <c r="F9" s="824"/>
      <c r="G9" s="824" t="s">
        <v>25</v>
      </c>
      <c r="H9" s="824" t="s">
        <v>29</v>
      </c>
      <c r="I9" s="824"/>
      <c r="J9" s="824" t="s">
        <v>25</v>
      </c>
      <c r="K9" s="824" t="s">
        <v>29</v>
      </c>
      <c r="L9" s="824"/>
      <c r="M9" s="836"/>
      <c r="N9" s="824"/>
      <c r="O9" s="836"/>
      <c r="P9" s="824"/>
      <c r="Q9" s="824" t="s">
        <v>30</v>
      </c>
      <c r="R9" s="823" t="s">
        <v>31</v>
      </c>
      <c r="S9" s="823"/>
      <c r="T9" s="824"/>
      <c r="U9" s="824" t="s">
        <v>30</v>
      </c>
      <c r="V9" s="823" t="s">
        <v>31</v>
      </c>
      <c r="W9" s="823"/>
      <c r="X9" s="824"/>
      <c r="Y9" s="824" t="s">
        <v>30</v>
      </c>
      <c r="Z9" s="823" t="s">
        <v>31</v>
      </c>
      <c r="AA9" s="823"/>
      <c r="AB9" s="831" t="s">
        <v>32</v>
      </c>
      <c r="AC9" s="831" t="s">
        <v>33</v>
      </c>
      <c r="AD9" s="824"/>
      <c r="AE9" s="824" t="s">
        <v>30</v>
      </c>
      <c r="AF9" s="823" t="s">
        <v>31</v>
      </c>
      <c r="AG9" s="823"/>
      <c r="AH9" s="824"/>
      <c r="AI9" s="824" t="s">
        <v>30</v>
      </c>
      <c r="AJ9" s="825" t="s">
        <v>34</v>
      </c>
      <c r="AK9" s="829"/>
      <c r="AL9" s="829"/>
      <c r="AM9" s="824"/>
      <c r="AN9" s="824" t="s">
        <v>30</v>
      </c>
      <c r="AO9" s="823" t="s">
        <v>31</v>
      </c>
      <c r="AP9" s="823"/>
      <c r="AQ9" s="829"/>
      <c r="AR9" s="829"/>
      <c r="AS9" s="824"/>
      <c r="AT9" s="824" t="s">
        <v>30</v>
      </c>
      <c r="AU9" s="823" t="s">
        <v>31</v>
      </c>
      <c r="AV9" s="823"/>
      <c r="AW9" s="840"/>
    </row>
    <row r="10" spans="1:57" s="420" customFormat="1" ht="57.75" customHeight="1" x14ac:dyDescent="0.25">
      <c r="A10" s="824"/>
      <c r="B10" s="824"/>
      <c r="C10" s="824"/>
      <c r="D10" s="824"/>
      <c r="E10" s="824"/>
      <c r="F10" s="824"/>
      <c r="G10" s="824"/>
      <c r="H10" s="824"/>
      <c r="I10" s="824"/>
      <c r="J10" s="824"/>
      <c r="K10" s="824"/>
      <c r="L10" s="824"/>
      <c r="M10" s="836"/>
      <c r="N10" s="824"/>
      <c r="O10" s="836"/>
      <c r="P10" s="824"/>
      <c r="Q10" s="824"/>
      <c r="R10" s="823" t="s">
        <v>35</v>
      </c>
      <c r="S10" s="823" t="s">
        <v>36</v>
      </c>
      <c r="T10" s="824"/>
      <c r="U10" s="824"/>
      <c r="V10" s="823" t="s">
        <v>35</v>
      </c>
      <c r="W10" s="823" t="s">
        <v>36</v>
      </c>
      <c r="X10" s="824"/>
      <c r="Y10" s="824"/>
      <c r="Z10" s="823" t="s">
        <v>35</v>
      </c>
      <c r="AA10" s="823" t="s">
        <v>36</v>
      </c>
      <c r="AB10" s="832"/>
      <c r="AC10" s="832"/>
      <c r="AD10" s="824"/>
      <c r="AE10" s="824"/>
      <c r="AF10" s="823" t="s">
        <v>35</v>
      </c>
      <c r="AG10" s="823" t="s">
        <v>36</v>
      </c>
      <c r="AH10" s="824"/>
      <c r="AI10" s="824"/>
      <c r="AJ10" s="826"/>
      <c r="AK10" s="829"/>
      <c r="AL10" s="829"/>
      <c r="AM10" s="824"/>
      <c r="AN10" s="824"/>
      <c r="AO10" s="823" t="s">
        <v>35</v>
      </c>
      <c r="AP10" s="823" t="s">
        <v>36</v>
      </c>
      <c r="AQ10" s="829"/>
      <c r="AR10" s="829"/>
      <c r="AS10" s="824"/>
      <c r="AT10" s="824"/>
      <c r="AU10" s="823" t="s">
        <v>35</v>
      </c>
      <c r="AV10" s="823" t="s">
        <v>36</v>
      </c>
      <c r="AW10" s="840"/>
    </row>
    <row r="11" spans="1:57" s="420" customFormat="1" ht="3.75" customHeight="1" x14ac:dyDescent="0.25">
      <c r="A11" s="824"/>
      <c r="B11" s="824"/>
      <c r="C11" s="824"/>
      <c r="D11" s="824"/>
      <c r="E11" s="824"/>
      <c r="F11" s="824"/>
      <c r="G11" s="824"/>
      <c r="H11" s="824"/>
      <c r="I11" s="824"/>
      <c r="J11" s="824"/>
      <c r="K11" s="824"/>
      <c r="L11" s="824"/>
      <c r="M11" s="836"/>
      <c r="N11" s="824"/>
      <c r="O11" s="836"/>
      <c r="P11" s="824"/>
      <c r="Q11" s="824"/>
      <c r="R11" s="823"/>
      <c r="S11" s="823"/>
      <c r="T11" s="824"/>
      <c r="U11" s="824"/>
      <c r="V11" s="823"/>
      <c r="W11" s="823"/>
      <c r="X11" s="824"/>
      <c r="Y11" s="824"/>
      <c r="Z11" s="823"/>
      <c r="AA11" s="823"/>
      <c r="AB11" s="832"/>
      <c r="AC11" s="832"/>
      <c r="AD11" s="824"/>
      <c r="AE11" s="824"/>
      <c r="AF11" s="823"/>
      <c r="AG11" s="823"/>
      <c r="AH11" s="824"/>
      <c r="AI11" s="824"/>
      <c r="AJ11" s="826"/>
      <c r="AK11" s="829"/>
      <c r="AL11" s="829"/>
      <c r="AM11" s="824"/>
      <c r="AN11" s="824"/>
      <c r="AO11" s="823"/>
      <c r="AP11" s="823"/>
      <c r="AQ11" s="829"/>
      <c r="AR11" s="829"/>
      <c r="AS11" s="824"/>
      <c r="AT11" s="824"/>
      <c r="AU11" s="823"/>
      <c r="AV11" s="823"/>
      <c r="AW11" s="840"/>
    </row>
    <row r="12" spans="1:57" s="420" customFormat="1" ht="30.75" hidden="1" customHeight="1" x14ac:dyDescent="0.25">
      <c r="A12" s="824"/>
      <c r="B12" s="824"/>
      <c r="C12" s="824"/>
      <c r="D12" s="824"/>
      <c r="E12" s="824"/>
      <c r="F12" s="824"/>
      <c r="G12" s="824"/>
      <c r="H12" s="824"/>
      <c r="I12" s="824"/>
      <c r="J12" s="824"/>
      <c r="K12" s="824"/>
      <c r="L12" s="824"/>
      <c r="M12" s="837"/>
      <c r="N12" s="824"/>
      <c r="O12" s="837"/>
      <c r="P12" s="824"/>
      <c r="Q12" s="824"/>
      <c r="R12" s="823"/>
      <c r="S12" s="823"/>
      <c r="T12" s="824"/>
      <c r="U12" s="824"/>
      <c r="V12" s="823"/>
      <c r="W12" s="823"/>
      <c r="X12" s="824"/>
      <c r="Y12" s="824"/>
      <c r="Z12" s="823"/>
      <c r="AA12" s="823"/>
      <c r="AB12" s="832"/>
      <c r="AC12" s="832"/>
      <c r="AD12" s="824"/>
      <c r="AE12" s="824"/>
      <c r="AF12" s="823"/>
      <c r="AG12" s="823"/>
      <c r="AH12" s="824"/>
      <c r="AI12" s="824"/>
      <c r="AJ12" s="827"/>
      <c r="AK12" s="830"/>
      <c r="AL12" s="830"/>
      <c r="AM12" s="824"/>
      <c r="AN12" s="824"/>
      <c r="AO12" s="823"/>
      <c r="AP12" s="823"/>
      <c r="AQ12" s="830"/>
      <c r="AR12" s="830"/>
      <c r="AS12" s="824"/>
      <c r="AT12" s="824"/>
      <c r="AU12" s="823"/>
      <c r="AV12" s="823"/>
      <c r="AW12" s="841"/>
    </row>
    <row r="13" spans="1:57" s="424" customFormat="1" ht="18" customHeight="1" x14ac:dyDescent="0.25">
      <c r="A13" s="137">
        <v>1</v>
      </c>
      <c r="B13" s="137">
        <v>2</v>
      </c>
      <c r="C13" s="137">
        <v>3</v>
      </c>
      <c r="D13" s="137">
        <v>4</v>
      </c>
      <c r="E13" s="137">
        <v>5</v>
      </c>
      <c r="F13" s="137">
        <v>6</v>
      </c>
      <c r="G13" s="137">
        <v>7</v>
      </c>
      <c r="H13" s="137">
        <v>8</v>
      </c>
      <c r="I13" s="137">
        <v>9</v>
      </c>
      <c r="J13" s="137">
        <v>10</v>
      </c>
      <c r="K13" s="137">
        <v>11</v>
      </c>
      <c r="L13" s="137">
        <v>9</v>
      </c>
      <c r="M13" s="137">
        <v>10</v>
      </c>
      <c r="N13" s="137">
        <v>11</v>
      </c>
      <c r="O13" s="137">
        <v>12</v>
      </c>
      <c r="P13" s="137">
        <v>13</v>
      </c>
      <c r="Q13" s="137">
        <v>14</v>
      </c>
      <c r="R13" s="137">
        <v>15</v>
      </c>
      <c r="S13" s="137">
        <v>16</v>
      </c>
      <c r="T13" s="137">
        <v>20</v>
      </c>
      <c r="U13" s="137">
        <v>21</v>
      </c>
      <c r="V13" s="137">
        <v>22</v>
      </c>
      <c r="W13" s="137">
        <v>23</v>
      </c>
      <c r="X13" s="137">
        <v>13</v>
      </c>
      <c r="Y13" s="137">
        <v>14</v>
      </c>
      <c r="Z13" s="137">
        <v>15</v>
      </c>
      <c r="AA13" s="137">
        <v>16</v>
      </c>
      <c r="AB13" s="137">
        <v>28</v>
      </c>
      <c r="AC13" s="137">
        <v>29</v>
      </c>
      <c r="AD13" s="137">
        <v>17</v>
      </c>
      <c r="AE13" s="137">
        <v>18</v>
      </c>
      <c r="AF13" s="137">
        <v>19</v>
      </c>
      <c r="AG13" s="137">
        <v>20</v>
      </c>
      <c r="AH13" s="137">
        <v>21</v>
      </c>
      <c r="AI13" s="137">
        <v>22</v>
      </c>
      <c r="AJ13" s="137">
        <v>23</v>
      </c>
      <c r="AK13" s="137">
        <v>17</v>
      </c>
      <c r="AL13" s="137">
        <v>18</v>
      </c>
      <c r="AM13" s="137">
        <v>19</v>
      </c>
      <c r="AN13" s="137">
        <v>20</v>
      </c>
      <c r="AO13" s="137">
        <v>21</v>
      </c>
      <c r="AP13" s="137">
        <v>22</v>
      </c>
      <c r="AQ13" s="137"/>
      <c r="AR13" s="137"/>
      <c r="AS13" s="137"/>
      <c r="AT13" s="137"/>
      <c r="AU13" s="137"/>
      <c r="AV13" s="137"/>
      <c r="AW13" s="353">
        <v>23</v>
      </c>
      <c r="AX13" s="423"/>
    </row>
    <row r="14" spans="1:57" s="425" customFormat="1" ht="33.6" customHeight="1" x14ac:dyDescent="0.25">
      <c r="A14" s="135"/>
      <c r="B14" s="136" t="s">
        <v>37</v>
      </c>
      <c r="C14" s="137"/>
      <c r="D14" s="137"/>
      <c r="E14" s="137"/>
      <c r="F14" s="137"/>
      <c r="G14" s="116" t="e">
        <f>#REF!+#REF!</f>
        <v>#REF!</v>
      </c>
      <c r="H14" s="116" t="e">
        <f>#REF!+#REF!</f>
        <v>#REF!</v>
      </c>
      <c r="I14" s="116" t="e">
        <f>#REF!+#REF!</f>
        <v>#REF!</v>
      </c>
      <c r="J14" s="116" t="e">
        <f>#REF!+#REF!</f>
        <v>#REF!</v>
      </c>
      <c r="K14" s="116" t="e">
        <f>#REF!+#REF!</f>
        <v>#REF!</v>
      </c>
      <c r="L14" s="116" t="e">
        <f>#REF!+#REF!</f>
        <v>#REF!</v>
      </c>
      <c r="M14" s="116" t="e">
        <f>#REF!+#REF!</f>
        <v>#REF!</v>
      </c>
      <c r="N14" s="116" t="e">
        <f>#REF!+#REF!</f>
        <v>#REF!</v>
      </c>
      <c r="O14" s="116" t="e">
        <f>#REF!+#REF!</f>
        <v>#REF!</v>
      </c>
      <c r="P14" s="116" t="e">
        <f>#REF!+#REF!</f>
        <v>#REF!</v>
      </c>
      <c r="Q14" s="116" t="e">
        <f>#REF!+#REF!</f>
        <v>#REF!</v>
      </c>
      <c r="R14" s="116" t="e">
        <f>#REF!+#REF!</f>
        <v>#REF!</v>
      </c>
      <c r="S14" s="116" t="e">
        <f>#REF!+#REF!</f>
        <v>#REF!</v>
      </c>
      <c r="T14" s="116" t="e">
        <f>#REF!+#REF!</f>
        <v>#REF!</v>
      </c>
      <c r="U14" s="116" t="e">
        <f>#REF!+#REF!</f>
        <v>#REF!</v>
      </c>
      <c r="V14" s="116" t="e">
        <f>#REF!+#REF!</f>
        <v>#REF!</v>
      </c>
      <c r="W14" s="116" t="e">
        <f>#REF!+#REF!</f>
        <v>#REF!</v>
      </c>
      <c r="X14" s="116" t="e">
        <f>#REF!+#REF!</f>
        <v>#REF!</v>
      </c>
      <c r="Y14" s="116" t="e">
        <f>#REF!+#REF!</f>
        <v>#REF!</v>
      </c>
      <c r="Z14" s="116" t="e">
        <f>#REF!+#REF!</f>
        <v>#REF!</v>
      </c>
      <c r="AA14" s="116" t="e">
        <f>#REF!+#REF!</f>
        <v>#REF!</v>
      </c>
      <c r="AB14" s="116" t="e">
        <f>#REF!+#REF!</f>
        <v>#REF!</v>
      </c>
      <c r="AC14" s="116" t="e">
        <f>#REF!+#REF!</f>
        <v>#REF!</v>
      </c>
      <c r="AD14" s="116" t="e">
        <f>#REF!+#REF!</f>
        <v>#REF!</v>
      </c>
      <c r="AE14" s="116" t="e">
        <f>#REF!+#REF!</f>
        <v>#REF!</v>
      </c>
      <c r="AF14" s="116" t="e">
        <f>#REF!+#REF!</f>
        <v>#REF!</v>
      </c>
      <c r="AG14" s="116" t="e">
        <f>#REF!+#REF!</f>
        <v>#REF!</v>
      </c>
      <c r="AH14" s="116" t="e">
        <f>#REF!+#REF!</f>
        <v>#REF!</v>
      </c>
      <c r="AI14" s="116" t="e">
        <f>#REF!+#REF!</f>
        <v>#REF!</v>
      </c>
      <c r="AJ14" s="116" t="e">
        <f>#REF!+#REF!</f>
        <v>#REF!</v>
      </c>
      <c r="AK14" s="116" t="e">
        <f>#REF!+#REF!</f>
        <v>#REF!</v>
      </c>
      <c r="AL14" s="116" t="e">
        <f>#REF!+#REF!</f>
        <v>#REF!</v>
      </c>
      <c r="AM14" s="116">
        <f>AM15</f>
        <v>564541</v>
      </c>
      <c r="AN14" s="116">
        <f t="shared" ref="AN14:AV14" si="0">AN15</f>
        <v>500691</v>
      </c>
      <c r="AO14" s="116">
        <f t="shared" si="0"/>
        <v>0</v>
      </c>
      <c r="AP14" s="116">
        <f t="shared" si="0"/>
        <v>0</v>
      </c>
      <c r="AQ14" s="116">
        <f t="shared" si="0"/>
        <v>61470</v>
      </c>
      <c r="AR14" s="116">
        <f t="shared" si="0"/>
        <v>9492.0299999999988</v>
      </c>
      <c r="AS14" s="116">
        <f t="shared" si="0"/>
        <v>630714</v>
      </c>
      <c r="AT14" s="116">
        <f t="shared" si="0"/>
        <v>552668.97</v>
      </c>
      <c r="AU14" s="116">
        <f t="shared" si="0"/>
        <v>0</v>
      </c>
      <c r="AV14" s="116">
        <f t="shared" si="0"/>
        <v>0</v>
      </c>
      <c r="AW14" s="138">
        <f>+AT14-AN14</f>
        <v>51977.969999999972</v>
      </c>
      <c r="AX14" s="423">
        <f>AN14+AQ14-AR14</f>
        <v>552668.97</v>
      </c>
      <c r="AY14" s="425">
        <f>AT14-AX14</f>
        <v>0</v>
      </c>
      <c r="BA14" s="425">
        <f>AT14+'2b. Dc 30a+275 (16-20)'!AT14+'2a.D.c NTM (16-20)'!AT14</f>
        <v>2701704.0129999998</v>
      </c>
      <c r="BC14" s="140">
        <v>238974.74599999993</v>
      </c>
      <c r="BE14" s="425">
        <v>102910</v>
      </c>
    </row>
    <row r="15" spans="1:57" s="425" customFormat="1" ht="33.6" customHeight="1" x14ac:dyDescent="0.25">
      <c r="A15" s="807" t="s">
        <v>2095</v>
      </c>
      <c r="B15" s="808" t="s">
        <v>2096</v>
      </c>
      <c r="C15" s="766"/>
      <c r="D15" s="766"/>
      <c r="E15" s="809"/>
      <c r="F15" s="766"/>
      <c r="G15" s="807">
        <f t="shared" ref="G15:AL15" si="1">G17+G59+G87+G122+G143+G181+G202+G253+G292</f>
        <v>378865.15000019601</v>
      </c>
      <c r="H15" s="807">
        <f t="shared" si="1"/>
        <v>351476.33900019602</v>
      </c>
      <c r="I15" s="807">
        <f t="shared" si="1"/>
        <v>0</v>
      </c>
      <c r="J15" s="807">
        <f t="shared" si="1"/>
        <v>0</v>
      </c>
      <c r="K15" s="807">
        <f t="shared" si="1"/>
        <v>0</v>
      </c>
      <c r="L15" s="807">
        <f t="shared" si="1"/>
        <v>0</v>
      </c>
      <c r="M15" s="807">
        <f t="shared" si="1"/>
        <v>0</v>
      </c>
      <c r="N15" s="807">
        <f t="shared" si="1"/>
        <v>0</v>
      </c>
      <c r="O15" s="807">
        <f t="shared" si="1"/>
        <v>0</v>
      </c>
      <c r="P15" s="807">
        <f t="shared" si="1"/>
        <v>0</v>
      </c>
      <c r="Q15" s="807">
        <f t="shared" si="1"/>
        <v>0</v>
      </c>
      <c r="R15" s="807">
        <f t="shared" si="1"/>
        <v>0</v>
      </c>
      <c r="S15" s="807">
        <f t="shared" si="1"/>
        <v>0</v>
      </c>
      <c r="T15" s="807">
        <f t="shared" si="1"/>
        <v>0</v>
      </c>
      <c r="U15" s="807">
        <f t="shared" si="1"/>
        <v>0</v>
      </c>
      <c r="V15" s="807">
        <f t="shared" si="1"/>
        <v>0</v>
      </c>
      <c r="W15" s="807">
        <f t="shared" si="1"/>
        <v>0</v>
      </c>
      <c r="X15" s="807">
        <f t="shared" si="1"/>
        <v>559664.76300000004</v>
      </c>
      <c r="Y15" s="807">
        <f t="shared" si="1"/>
        <v>528766.929</v>
      </c>
      <c r="Z15" s="807">
        <f t="shared" si="1"/>
        <v>0</v>
      </c>
      <c r="AA15" s="807">
        <f t="shared" si="1"/>
        <v>0</v>
      </c>
      <c r="AB15" s="807">
        <f t="shared" si="1"/>
        <v>0</v>
      </c>
      <c r="AC15" s="807">
        <f t="shared" si="1"/>
        <v>0</v>
      </c>
      <c r="AD15" s="807">
        <f t="shared" si="1"/>
        <v>0</v>
      </c>
      <c r="AE15" s="807">
        <f t="shared" si="1"/>
        <v>0</v>
      </c>
      <c r="AF15" s="807">
        <f t="shared" si="1"/>
        <v>0</v>
      </c>
      <c r="AG15" s="807">
        <f t="shared" si="1"/>
        <v>0</v>
      </c>
      <c r="AH15" s="807">
        <f t="shared" si="1"/>
        <v>0</v>
      </c>
      <c r="AI15" s="807">
        <f t="shared" si="1"/>
        <v>0</v>
      </c>
      <c r="AJ15" s="807">
        <f t="shared" si="1"/>
        <v>0</v>
      </c>
      <c r="AK15" s="807">
        <f t="shared" si="1"/>
        <v>41244.642999999996</v>
      </c>
      <c r="AL15" s="807">
        <f t="shared" si="1"/>
        <v>69321.649000000005</v>
      </c>
      <c r="AM15" s="807">
        <f>AM16+AM301</f>
        <v>564541</v>
      </c>
      <c r="AN15" s="807">
        <f t="shared" ref="AN15:AV15" si="2">AN16+AN301</f>
        <v>500691</v>
      </c>
      <c r="AO15" s="807">
        <f t="shared" si="2"/>
        <v>0</v>
      </c>
      <c r="AP15" s="807">
        <f t="shared" si="2"/>
        <v>0</v>
      </c>
      <c r="AQ15" s="807">
        <f t="shared" si="2"/>
        <v>61470</v>
      </c>
      <c r="AR15" s="807">
        <f t="shared" si="2"/>
        <v>9492.0299999999988</v>
      </c>
      <c r="AS15" s="807">
        <f t="shared" si="2"/>
        <v>630714</v>
      </c>
      <c r="AT15" s="807">
        <f>AT16+AT301</f>
        <v>552668.97</v>
      </c>
      <c r="AU15" s="807">
        <f t="shared" si="2"/>
        <v>0</v>
      </c>
      <c r="AV15" s="807">
        <f t="shared" si="2"/>
        <v>0</v>
      </c>
      <c r="AW15" s="810"/>
      <c r="AX15" s="423"/>
      <c r="BC15" s="425">
        <f>BC14+AW14</f>
        <v>290952.7159999999</v>
      </c>
      <c r="BE15" s="425">
        <f>BE14+BC15</f>
        <v>393862.7159999999</v>
      </c>
    </row>
    <row r="16" spans="1:57" s="653" customFormat="1" ht="60" customHeight="1" x14ac:dyDescent="0.25">
      <c r="A16" s="646" t="s">
        <v>1668</v>
      </c>
      <c r="B16" s="647" t="s">
        <v>1669</v>
      </c>
      <c r="C16" s="648"/>
      <c r="D16" s="648"/>
      <c r="E16" s="649"/>
      <c r="F16" s="648"/>
      <c r="G16" s="646"/>
      <c r="H16" s="646"/>
      <c r="I16" s="646"/>
      <c r="J16" s="646"/>
      <c r="K16" s="646"/>
      <c r="L16" s="646"/>
      <c r="M16" s="646"/>
      <c r="N16" s="646"/>
      <c r="O16" s="646"/>
      <c r="P16" s="646"/>
      <c r="Q16" s="646"/>
      <c r="R16" s="646"/>
      <c r="S16" s="646"/>
      <c r="T16" s="646"/>
      <c r="U16" s="646"/>
      <c r="V16" s="646"/>
      <c r="W16" s="646"/>
      <c r="X16" s="646"/>
      <c r="Y16" s="646"/>
      <c r="Z16" s="646"/>
      <c r="AA16" s="646"/>
      <c r="AB16" s="646"/>
      <c r="AC16" s="646"/>
      <c r="AD16" s="646"/>
      <c r="AE16" s="646"/>
      <c r="AF16" s="646"/>
      <c r="AG16" s="646"/>
      <c r="AH16" s="646"/>
      <c r="AI16" s="646"/>
      <c r="AJ16" s="646"/>
      <c r="AK16" s="646"/>
      <c r="AL16" s="646"/>
      <c r="AM16" s="650">
        <f>AM17++AM59+AM87+AM122+AM143+AM181+AM202+AM253+AM292</f>
        <v>564541</v>
      </c>
      <c r="AN16" s="650">
        <f>AN17++AN59+AN87+AN122+AN143+AN181+AN202+AN253+AN292+1</f>
        <v>500691</v>
      </c>
      <c r="AO16" s="650">
        <f t="shared" ref="AO16:AS16" si="3">AO17++AO59+AO87+AO122+AO143+AO181+AO202+AO253+AO292</f>
        <v>0</v>
      </c>
      <c r="AP16" s="650">
        <f t="shared" si="3"/>
        <v>0</v>
      </c>
      <c r="AQ16" s="650">
        <f t="shared" si="3"/>
        <v>9492</v>
      </c>
      <c r="AR16" s="650">
        <f t="shared" si="3"/>
        <v>9492.0299999999988</v>
      </c>
      <c r="AS16" s="650">
        <f t="shared" si="3"/>
        <v>574945</v>
      </c>
      <c r="AT16" s="650">
        <f>AT17++AT59+AT87+AT122+AT143+AT181+AT202+AT253+AT292+1</f>
        <v>500690.97</v>
      </c>
      <c r="AU16" s="650">
        <f t="shared" ref="AU16:AV16" si="4">AU17++AU59+AU87+AU122+AU143+AU181+AU202+AU253+AU292</f>
        <v>0</v>
      </c>
      <c r="AV16" s="650">
        <f t="shared" si="4"/>
        <v>0</v>
      </c>
      <c r="AW16" s="651"/>
      <c r="AX16" s="652">
        <f>552669+3654</f>
        <v>556323</v>
      </c>
      <c r="AY16" s="652"/>
    </row>
    <row r="17" spans="1:51" ht="36" customHeight="1" x14ac:dyDescent="0.25">
      <c r="A17" s="654" t="s">
        <v>92</v>
      </c>
      <c r="B17" s="655" t="s">
        <v>62</v>
      </c>
      <c r="C17" s="656"/>
      <c r="D17" s="657"/>
      <c r="E17" s="656"/>
      <c r="F17" s="658"/>
      <c r="G17" s="658">
        <v>12844</v>
      </c>
      <c r="H17" s="658">
        <v>11746</v>
      </c>
      <c r="I17" s="659"/>
      <c r="J17" s="659"/>
      <c r="K17" s="659"/>
      <c r="L17" s="659"/>
      <c r="M17" s="659"/>
      <c r="N17" s="659"/>
      <c r="O17" s="659"/>
      <c r="P17" s="659"/>
      <c r="Q17" s="659"/>
      <c r="R17" s="659"/>
      <c r="S17" s="659"/>
      <c r="T17" s="659"/>
      <c r="U17" s="659"/>
      <c r="V17" s="659"/>
      <c r="W17" s="659"/>
      <c r="X17" s="658">
        <v>58551</v>
      </c>
      <c r="Y17" s="658">
        <v>55986</v>
      </c>
      <c r="Z17" s="658">
        <v>0</v>
      </c>
      <c r="AA17" s="658">
        <v>0</v>
      </c>
      <c r="AB17" s="658">
        <v>0</v>
      </c>
      <c r="AC17" s="658">
        <v>0</v>
      </c>
      <c r="AD17" s="658">
        <v>0</v>
      </c>
      <c r="AE17" s="658">
        <v>0</v>
      </c>
      <c r="AF17" s="658">
        <v>0</v>
      </c>
      <c r="AG17" s="658">
        <v>0</v>
      </c>
      <c r="AH17" s="658">
        <v>0</v>
      </c>
      <c r="AI17" s="658">
        <v>0</v>
      </c>
      <c r="AJ17" s="658">
        <v>0</v>
      </c>
      <c r="AK17" s="658">
        <v>560</v>
      </c>
      <c r="AL17" s="658">
        <v>1850</v>
      </c>
      <c r="AM17" s="465">
        <f>AM18+AM19</f>
        <v>56225</v>
      </c>
      <c r="AN17" s="465">
        <f t="shared" ref="AN17:AV17" si="5">AN18+AN19</f>
        <v>54695</v>
      </c>
      <c r="AO17" s="465">
        <f t="shared" si="5"/>
        <v>0</v>
      </c>
      <c r="AP17" s="465">
        <f t="shared" si="5"/>
        <v>0</v>
      </c>
      <c r="AQ17" s="465">
        <f t="shared" si="5"/>
        <v>0</v>
      </c>
      <c r="AR17" s="465">
        <f t="shared" si="5"/>
        <v>0</v>
      </c>
      <c r="AS17" s="465">
        <f t="shared" si="5"/>
        <v>56225</v>
      </c>
      <c r="AT17" s="465">
        <f t="shared" si="5"/>
        <v>54695</v>
      </c>
      <c r="AU17" s="465">
        <f t="shared" si="5"/>
        <v>0</v>
      </c>
      <c r="AV17" s="465">
        <f t="shared" si="5"/>
        <v>0</v>
      </c>
      <c r="AW17" s="147"/>
      <c r="AX17" s="660">
        <f>AN16-Y16</f>
        <v>500691</v>
      </c>
      <c r="AY17" s="660">
        <v>552669</v>
      </c>
    </row>
    <row r="18" spans="1:51" s="14" customFormat="1" ht="57" customHeight="1" x14ac:dyDescent="0.25">
      <c r="A18" s="661" t="s">
        <v>100</v>
      </c>
      <c r="B18" s="523" t="s">
        <v>1670</v>
      </c>
      <c r="C18" s="464"/>
      <c r="D18" s="464"/>
      <c r="E18" s="464"/>
      <c r="F18" s="658"/>
      <c r="G18" s="658">
        <v>1609</v>
      </c>
      <c r="H18" s="658">
        <v>1609</v>
      </c>
      <c r="I18" s="659"/>
      <c r="J18" s="659"/>
      <c r="K18" s="659"/>
      <c r="L18" s="659"/>
      <c r="M18" s="659"/>
      <c r="N18" s="659"/>
      <c r="O18" s="659"/>
      <c r="P18" s="659"/>
      <c r="Q18" s="659"/>
      <c r="R18" s="659"/>
      <c r="S18" s="659"/>
      <c r="T18" s="659"/>
      <c r="U18" s="659"/>
      <c r="V18" s="659"/>
      <c r="W18" s="659"/>
      <c r="X18" s="662">
        <v>1000</v>
      </c>
      <c r="Y18" s="662">
        <v>1000</v>
      </c>
      <c r="Z18" s="662"/>
      <c r="AA18" s="662"/>
      <c r="AB18" s="662"/>
      <c r="AC18" s="658"/>
      <c r="AD18" s="658"/>
      <c r="AE18" s="658"/>
      <c r="AF18" s="658"/>
      <c r="AG18" s="658"/>
      <c r="AH18" s="658"/>
      <c r="AI18" s="658"/>
      <c r="AJ18" s="663"/>
      <c r="AK18" s="664"/>
      <c r="AL18" s="664"/>
      <c r="AM18" s="453">
        <v>1000</v>
      </c>
      <c r="AN18" s="453">
        <v>1000</v>
      </c>
      <c r="AO18" s="665"/>
      <c r="AP18" s="665"/>
      <c r="AQ18" s="666"/>
      <c r="AR18" s="666"/>
      <c r="AS18" s="53">
        <v>1000</v>
      </c>
      <c r="AT18" s="53">
        <v>1000</v>
      </c>
      <c r="AU18" s="667"/>
      <c r="AV18" s="667"/>
      <c r="AW18" s="225"/>
      <c r="AX18" s="668">
        <f>AX16-AX17</f>
        <v>55632</v>
      </c>
      <c r="AY18" s="668">
        <v>3654</v>
      </c>
    </row>
    <row r="19" spans="1:51" s="14" customFormat="1" ht="43.5" customHeight="1" x14ac:dyDescent="0.25">
      <c r="A19" s="661" t="s">
        <v>102</v>
      </c>
      <c r="B19" s="523" t="s">
        <v>735</v>
      </c>
      <c r="C19" s="464"/>
      <c r="D19" s="464"/>
      <c r="E19" s="464"/>
      <c r="F19" s="658"/>
      <c r="G19" s="658">
        <v>11235</v>
      </c>
      <c r="H19" s="658">
        <v>10137</v>
      </c>
      <c r="I19" s="659"/>
      <c r="J19" s="659"/>
      <c r="K19" s="659"/>
      <c r="L19" s="659"/>
      <c r="M19" s="659"/>
      <c r="N19" s="659"/>
      <c r="O19" s="659"/>
      <c r="P19" s="659"/>
      <c r="Q19" s="659"/>
      <c r="R19" s="659"/>
      <c r="S19" s="659"/>
      <c r="T19" s="659"/>
      <c r="U19" s="659"/>
      <c r="V19" s="659"/>
      <c r="W19" s="659"/>
      <c r="X19" s="658">
        <v>57551</v>
      </c>
      <c r="Y19" s="658">
        <v>54986</v>
      </c>
      <c r="Z19" s="658">
        <v>0</v>
      </c>
      <c r="AA19" s="658">
        <v>0</v>
      </c>
      <c r="AB19" s="658">
        <v>0</v>
      </c>
      <c r="AC19" s="658">
        <v>0</v>
      </c>
      <c r="AD19" s="658">
        <v>0</v>
      </c>
      <c r="AE19" s="658">
        <v>0</v>
      </c>
      <c r="AF19" s="658">
        <v>0</v>
      </c>
      <c r="AG19" s="658">
        <v>0</v>
      </c>
      <c r="AH19" s="658">
        <v>0</v>
      </c>
      <c r="AI19" s="658">
        <v>0</v>
      </c>
      <c r="AJ19" s="658">
        <v>0</v>
      </c>
      <c r="AK19" s="658">
        <v>560</v>
      </c>
      <c r="AL19" s="658">
        <v>1850</v>
      </c>
      <c r="AM19" s="465">
        <f>SUM(AM20:AM58)</f>
        <v>55225</v>
      </c>
      <c r="AN19" s="465">
        <f>SUM(AN20:AN58)</f>
        <v>53695</v>
      </c>
      <c r="AO19" s="465">
        <f t="shared" ref="AO19:AV19" si="6">SUM(AO20:AO58)</f>
        <v>0</v>
      </c>
      <c r="AP19" s="465">
        <f t="shared" si="6"/>
        <v>0</v>
      </c>
      <c r="AQ19" s="465">
        <f t="shared" si="6"/>
        <v>0</v>
      </c>
      <c r="AR19" s="465">
        <f t="shared" si="6"/>
        <v>0</v>
      </c>
      <c r="AS19" s="465">
        <f t="shared" si="6"/>
        <v>55225</v>
      </c>
      <c r="AT19" s="465">
        <f t="shared" si="6"/>
        <v>53695</v>
      </c>
      <c r="AU19" s="465">
        <f t="shared" si="6"/>
        <v>0</v>
      </c>
      <c r="AV19" s="465">
        <f t="shared" si="6"/>
        <v>0</v>
      </c>
      <c r="AW19" s="225"/>
    </row>
    <row r="20" spans="1:51" ht="38.25" customHeight="1" x14ac:dyDescent="0.25">
      <c r="A20" s="448">
        <v>1</v>
      </c>
      <c r="B20" s="449" t="s">
        <v>1671</v>
      </c>
      <c r="C20" s="450" t="s">
        <v>63</v>
      </c>
      <c r="D20" s="450" t="s">
        <v>409</v>
      </c>
      <c r="E20" s="450">
        <v>2016</v>
      </c>
      <c r="F20" s="669"/>
      <c r="G20" s="669">
        <v>1500</v>
      </c>
      <c r="H20" s="669">
        <v>1500</v>
      </c>
      <c r="I20" s="670"/>
      <c r="J20" s="670"/>
      <c r="K20" s="670"/>
      <c r="L20" s="670"/>
      <c r="M20" s="670"/>
      <c r="N20" s="670"/>
      <c r="O20" s="670"/>
      <c r="P20" s="670"/>
      <c r="Q20" s="670"/>
      <c r="R20" s="670"/>
      <c r="S20" s="670"/>
      <c r="T20" s="670"/>
      <c r="U20" s="670"/>
      <c r="V20" s="670"/>
      <c r="W20" s="670"/>
      <c r="X20" s="671">
        <v>1500</v>
      </c>
      <c r="Y20" s="671">
        <v>1500</v>
      </c>
      <c r="Z20" s="671"/>
      <c r="AA20" s="671"/>
      <c r="AB20" s="671"/>
      <c r="AC20" s="669"/>
      <c r="AD20" s="669"/>
      <c r="AE20" s="669"/>
      <c r="AF20" s="669"/>
      <c r="AG20" s="669"/>
      <c r="AH20" s="669"/>
      <c r="AI20" s="669"/>
      <c r="AJ20" s="672"/>
      <c r="AK20" s="673"/>
      <c r="AL20" s="673">
        <v>0</v>
      </c>
      <c r="AM20" s="453">
        <v>1500</v>
      </c>
      <c r="AN20" s="453">
        <v>1500</v>
      </c>
      <c r="AO20" s="665"/>
      <c r="AP20" s="665"/>
      <c r="AQ20" s="666"/>
      <c r="AR20" s="666"/>
      <c r="AS20" s="674">
        <v>1500</v>
      </c>
      <c r="AT20" s="674">
        <v>1500</v>
      </c>
      <c r="AU20" s="660"/>
      <c r="AV20" s="660"/>
      <c r="AW20" s="147"/>
      <c r="AX20" s="119"/>
    </row>
    <row r="21" spans="1:51" ht="41.25" customHeight="1" x14ac:dyDescent="0.25">
      <c r="A21" s="448">
        <v>2</v>
      </c>
      <c r="B21" s="449" t="s">
        <v>1672</v>
      </c>
      <c r="C21" s="450" t="s">
        <v>63</v>
      </c>
      <c r="D21" s="450" t="s">
        <v>1673</v>
      </c>
      <c r="E21" s="450">
        <v>2016</v>
      </c>
      <c r="F21" s="669"/>
      <c r="G21" s="669">
        <v>1500</v>
      </c>
      <c r="H21" s="669">
        <v>1500</v>
      </c>
      <c r="I21" s="670"/>
      <c r="J21" s="670"/>
      <c r="K21" s="670"/>
      <c r="L21" s="670"/>
      <c r="M21" s="670"/>
      <c r="N21" s="670"/>
      <c r="O21" s="670"/>
      <c r="P21" s="670"/>
      <c r="Q21" s="670"/>
      <c r="R21" s="670"/>
      <c r="S21" s="670"/>
      <c r="T21" s="670"/>
      <c r="U21" s="670"/>
      <c r="V21" s="670"/>
      <c r="W21" s="670"/>
      <c r="X21" s="671">
        <v>1500</v>
      </c>
      <c r="Y21" s="671">
        <v>1500</v>
      </c>
      <c r="Z21" s="671"/>
      <c r="AA21" s="671"/>
      <c r="AB21" s="671"/>
      <c r="AC21" s="669"/>
      <c r="AD21" s="669"/>
      <c r="AE21" s="669"/>
      <c r="AF21" s="669"/>
      <c r="AG21" s="669"/>
      <c r="AH21" s="669"/>
      <c r="AI21" s="669"/>
      <c r="AJ21" s="672"/>
      <c r="AK21" s="673"/>
      <c r="AL21" s="673">
        <v>0</v>
      </c>
      <c r="AM21" s="453">
        <v>1500</v>
      </c>
      <c r="AN21" s="453">
        <v>1500</v>
      </c>
      <c r="AO21" s="665"/>
      <c r="AP21" s="665"/>
      <c r="AQ21" s="666"/>
      <c r="AR21" s="666"/>
      <c r="AS21" s="674">
        <v>1500</v>
      </c>
      <c r="AT21" s="674">
        <v>1500</v>
      </c>
      <c r="AU21" s="660"/>
      <c r="AV21" s="660"/>
      <c r="AW21" s="147"/>
      <c r="AX21" s="119"/>
    </row>
    <row r="22" spans="1:51" ht="41.25" customHeight="1" x14ac:dyDescent="0.25">
      <c r="A22" s="448">
        <v>3</v>
      </c>
      <c r="B22" s="449" t="s">
        <v>1674</v>
      </c>
      <c r="C22" s="450" t="s">
        <v>63</v>
      </c>
      <c r="D22" s="450" t="s">
        <v>1675</v>
      </c>
      <c r="E22" s="450">
        <v>2016</v>
      </c>
      <c r="F22" s="669"/>
      <c r="G22" s="669">
        <v>1500</v>
      </c>
      <c r="H22" s="669">
        <v>425</v>
      </c>
      <c r="I22" s="670"/>
      <c r="J22" s="670"/>
      <c r="K22" s="670"/>
      <c r="L22" s="670"/>
      <c r="M22" s="670"/>
      <c r="N22" s="670"/>
      <c r="O22" s="670"/>
      <c r="P22" s="670"/>
      <c r="Q22" s="670"/>
      <c r="R22" s="670"/>
      <c r="S22" s="670"/>
      <c r="T22" s="670"/>
      <c r="U22" s="670"/>
      <c r="V22" s="670"/>
      <c r="W22" s="670"/>
      <c r="X22" s="671">
        <v>1500</v>
      </c>
      <c r="Y22" s="671">
        <v>425</v>
      </c>
      <c r="Z22" s="671"/>
      <c r="AA22" s="671"/>
      <c r="AB22" s="671"/>
      <c r="AC22" s="669"/>
      <c r="AD22" s="669"/>
      <c r="AE22" s="669"/>
      <c r="AF22" s="669"/>
      <c r="AG22" s="669"/>
      <c r="AH22" s="669"/>
      <c r="AI22" s="669"/>
      <c r="AJ22" s="672"/>
      <c r="AK22" s="673"/>
      <c r="AL22" s="673">
        <v>0</v>
      </c>
      <c r="AM22" s="453">
        <v>1500</v>
      </c>
      <c r="AN22" s="453">
        <v>425</v>
      </c>
      <c r="AO22" s="665"/>
      <c r="AP22" s="665"/>
      <c r="AQ22" s="666"/>
      <c r="AR22" s="666"/>
      <c r="AS22" s="674">
        <v>1500</v>
      </c>
      <c r="AT22" s="674">
        <v>425</v>
      </c>
      <c r="AU22" s="660"/>
      <c r="AV22" s="660"/>
      <c r="AW22" s="147"/>
      <c r="AX22" s="119"/>
    </row>
    <row r="23" spans="1:51" ht="54" customHeight="1" x14ac:dyDescent="0.25">
      <c r="A23" s="448">
        <v>4</v>
      </c>
      <c r="B23" s="449" t="s">
        <v>1676</v>
      </c>
      <c r="C23" s="450" t="s">
        <v>1015</v>
      </c>
      <c r="D23" s="450" t="s">
        <v>1677</v>
      </c>
      <c r="E23" s="450">
        <v>2016</v>
      </c>
      <c r="F23" s="669"/>
      <c r="G23" s="669">
        <v>1500</v>
      </c>
      <c r="H23" s="669">
        <v>1500</v>
      </c>
      <c r="I23" s="670"/>
      <c r="J23" s="670"/>
      <c r="K23" s="670"/>
      <c r="L23" s="670"/>
      <c r="M23" s="670"/>
      <c r="N23" s="670"/>
      <c r="O23" s="670"/>
      <c r="P23" s="670"/>
      <c r="Q23" s="670"/>
      <c r="R23" s="670"/>
      <c r="S23" s="670"/>
      <c r="T23" s="670"/>
      <c r="U23" s="670"/>
      <c r="V23" s="670"/>
      <c r="W23" s="670"/>
      <c r="X23" s="671">
        <v>1500</v>
      </c>
      <c r="Y23" s="671">
        <v>1500</v>
      </c>
      <c r="Z23" s="671"/>
      <c r="AA23" s="671"/>
      <c r="AB23" s="671"/>
      <c r="AC23" s="669"/>
      <c r="AD23" s="669"/>
      <c r="AE23" s="669"/>
      <c r="AF23" s="669"/>
      <c r="AG23" s="669"/>
      <c r="AH23" s="669"/>
      <c r="AI23" s="669"/>
      <c r="AJ23" s="672"/>
      <c r="AK23" s="673"/>
      <c r="AL23" s="673">
        <v>0</v>
      </c>
      <c r="AM23" s="453">
        <v>1500</v>
      </c>
      <c r="AN23" s="453">
        <v>1500</v>
      </c>
      <c r="AO23" s="665"/>
      <c r="AP23" s="665"/>
      <c r="AQ23" s="666"/>
      <c r="AR23" s="666"/>
      <c r="AS23" s="674">
        <v>1500</v>
      </c>
      <c r="AT23" s="674">
        <v>1500</v>
      </c>
      <c r="AU23" s="660"/>
      <c r="AV23" s="660"/>
      <c r="AW23" s="147"/>
      <c r="AX23" s="119"/>
    </row>
    <row r="24" spans="1:51" ht="47.25" x14ac:dyDescent="0.25">
      <c r="A24" s="448">
        <v>5</v>
      </c>
      <c r="B24" s="449" t="s">
        <v>1678</v>
      </c>
      <c r="C24" s="450" t="s">
        <v>1015</v>
      </c>
      <c r="D24" s="450" t="s">
        <v>1679</v>
      </c>
      <c r="E24" s="450">
        <v>2016</v>
      </c>
      <c r="F24" s="669"/>
      <c r="G24" s="669">
        <v>1500</v>
      </c>
      <c r="H24" s="669">
        <v>1500</v>
      </c>
      <c r="I24" s="670"/>
      <c r="J24" s="670"/>
      <c r="K24" s="670"/>
      <c r="L24" s="670"/>
      <c r="M24" s="670"/>
      <c r="N24" s="670"/>
      <c r="O24" s="670"/>
      <c r="P24" s="670"/>
      <c r="Q24" s="670"/>
      <c r="R24" s="670"/>
      <c r="S24" s="670"/>
      <c r="T24" s="670"/>
      <c r="U24" s="670"/>
      <c r="V24" s="670"/>
      <c r="W24" s="670"/>
      <c r="X24" s="671">
        <v>1500</v>
      </c>
      <c r="Y24" s="671">
        <v>1500</v>
      </c>
      <c r="Z24" s="671"/>
      <c r="AA24" s="671"/>
      <c r="AB24" s="671"/>
      <c r="AC24" s="669"/>
      <c r="AD24" s="669"/>
      <c r="AE24" s="669"/>
      <c r="AF24" s="669"/>
      <c r="AG24" s="669"/>
      <c r="AH24" s="669"/>
      <c r="AI24" s="669"/>
      <c r="AJ24" s="672"/>
      <c r="AK24" s="673"/>
      <c r="AL24" s="673">
        <v>0</v>
      </c>
      <c r="AM24" s="453">
        <v>1500</v>
      </c>
      <c r="AN24" s="453">
        <v>1500</v>
      </c>
      <c r="AO24" s="665"/>
      <c r="AP24" s="665"/>
      <c r="AQ24" s="666"/>
      <c r="AR24" s="666"/>
      <c r="AS24" s="674">
        <v>1500</v>
      </c>
      <c r="AT24" s="674">
        <v>1500</v>
      </c>
      <c r="AU24" s="660"/>
      <c r="AV24" s="660"/>
      <c r="AW24" s="147"/>
      <c r="AX24" s="119"/>
    </row>
    <row r="25" spans="1:51" ht="45.75" customHeight="1" x14ac:dyDescent="0.25">
      <c r="A25" s="448">
        <v>6</v>
      </c>
      <c r="B25" s="449" t="s">
        <v>1680</v>
      </c>
      <c r="C25" s="450" t="s">
        <v>1015</v>
      </c>
      <c r="D25" s="450" t="s">
        <v>1681</v>
      </c>
      <c r="E25" s="450">
        <v>2016</v>
      </c>
      <c r="F25" s="669"/>
      <c r="G25" s="669">
        <v>1500</v>
      </c>
      <c r="H25" s="669">
        <v>1500</v>
      </c>
      <c r="I25" s="670"/>
      <c r="J25" s="670"/>
      <c r="K25" s="670"/>
      <c r="L25" s="670"/>
      <c r="M25" s="670"/>
      <c r="N25" s="670"/>
      <c r="O25" s="670"/>
      <c r="P25" s="670"/>
      <c r="Q25" s="670"/>
      <c r="R25" s="670"/>
      <c r="S25" s="670"/>
      <c r="T25" s="670"/>
      <c r="U25" s="670"/>
      <c r="V25" s="670"/>
      <c r="W25" s="670"/>
      <c r="X25" s="671">
        <v>1500</v>
      </c>
      <c r="Y25" s="671">
        <v>1500</v>
      </c>
      <c r="Z25" s="671"/>
      <c r="AA25" s="671"/>
      <c r="AB25" s="671"/>
      <c r="AC25" s="669"/>
      <c r="AD25" s="669"/>
      <c r="AE25" s="669"/>
      <c r="AF25" s="669"/>
      <c r="AG25" s="669"/>
      <c r="AH25" s="669"/>
      <c r="AI25" s="669"/>
      <c r="AJ25" s="672"/>
      <c r="AK25" s="673"/>
      <c r="AL25" s="673">
        <v>0</v>
      </c>
      <c r="AM25" s="453">
        <v>1500</v>
      </c>
      <c r="AN25" s="453">
        <v>1500</v>
      </c>
      <c r="AO25" s="665"/>
      <c r="AP25" s="665"/>
      <c r="AQ25" s="666"/>
      <c r="AR25" s="666"/>
      <c r="AS25" s="674">
        <v>1500</v>
      </c>
      <c r="AT25" s="674">
        <v>1500</v>
      </c>
      <c r="AU25" s="660"/>
      <c r="AV25" s="660"/>
      <c r="AW25" s="147"/>
      <c r="AX25" s="119"/>
    </row>
    <row r="26" spans="1:51" ht="49.5" customHeight="1" x14ac:dyDescent="0.25">
      <c r="A26" s="448">
        <v>7</v>
      </c>
      <c r="B26" s="449" t="s">
        <v>1682</v>
      </c>
      <c r="C26" s="450" t="s">
        <v>1015</v>
      </c>
      <c r="D26" s="450"/>
      <c r="E26" s="450" t="s">
        <v>65</v>
      </c>
      <c r="F26" s="669"/>
      <c r="G26" s="669">
        <v>735</v>
      </c>
      <c r="H26" s="669">
        <v>727</v>
      </c>
      <c r="I26" s="670"/>
      <c r="J26" s="670"/>
      <c r="K26" s="670"/>
      <c r="L26" s="670"/>
      <c r="M26" s="670"/>
      <c r="N26" s="670"/>
      <c r="O26" s="670"/>
      <c r="P26" s="670"/>
      <c r="Q26" s="670"/>
      <c r="R26" s="670"/>
      <c r="S26" s="670"/>
      <c r="T26" s="670"/>
      <c r="U26" s="670"/>
      <c r="V26" s="670"/>
      <c r="W26" s="670"/>
      <c r="X26" s="671">
        <v>735</v>
      </c>
      <c r="Y26" s="671">
        <v>727</v>
      </c>
      <c r="Z26" s="671"/>
      <c r="AA26" s="671"/>
      <c r="AB26" s="671"/>
      <c r="AC26" s="669"/>
      <c r="AD26" s="669"/>
      <c r="AE26" s="669"/>
      <c r="AF26" s="669"/>
      <c r="AG26" s="669"/>
      <c r="AH26" s="669"/>
      <c r="AI26" s="669"/>
      <c r="AJ26" s="672"/>
      <c r="AK26" s="673"/>
      <c r="AL26" s="673">
        <v>24</v>
      </c>
      <c r="AM26" s="675">
        <v>709</v>
      </c>
      <c r="AN26" s="675">
        <v>702</v>
      </c>
      <c r="AO26" s="665"/>
      <c r="AP26" s="665"/>
      <c r="AQ26" s="666"/>
      <c r="AR26" s="666"/>
      <c r="AS26" s="674">
        <v>709</v>
      </c>
      <c r="AT26" s="674">
        <v>702</v>
      </c>
      <c r="AU26" s="660"/>
      <c r="AV26" s="660"/>
      <c r="AW26" s="147"/>
      <c r="AX26" s="119"/>
    </row>
    <row r="27" spans="1:51" ht="47.25" x14ac:dyDescent="0.25">
      <c r="A27" s="448">
        <v>8</v>
      </c>
      <c r="B27" s="449" t="s">
        <v>1683</v>
      </c>
      <c r="C27" s="450" t="s">
        <v>76</v>
      </c>
      <c r="D27" s="450" t="s">
        <v>1684</v>
      </c>
      <c r="E27" s="450">
        <v>2016</v>
      </c>
      <c r="F27" s="669"/>
      <c r="G27" s="669">
        <v>1500</v>
      </c>
      <c r="H27" s="669">
        <v>1485</v>
      </c>
      <c r="I27" s="670"/>
      <c r="J27" s="670"/>
      <c r="K27" s="670"/>
      <c r="L27" s="670"/>
      <c r="M27" s="670"/>
      <c r="N27" s="670"/>
      <c r="O27" s="670"/>
      <c r="P27" s="670"/>
      <c r="Q27" s="670"/>
      <c r="R27" s="670"/>
      <c r="S27" s="670"/>
      <c r="T27" s="670"/>
      <c r="U27" s="670"/>
      <c r="V27" s="670"/>
      <c r="W27" s="670"/>
      <c r="X27" s="671">
        <v>1500</v>
      </c>
      <c r="Y27" s="671">
        <v>1485</v>
      </c>
      <c r="Z27" s="671"/>
      <c r="AA27" s="671"/>
      <c r="AB27" s="671"/>
      <c r="AC27" s="669"/>
      <c r="AD27" s="669"/>
      <c r="AE27" s="669"/>
      <c r="AF27" s="669"/>
      <c r="AG27" s="669"/>
      <c r="AH27" s="669"/>
      <c r="AI27" s="669"/>
      <c r="AJ27" s="672"/>
      <c r="AK27" s="673"/>
      <c r="AL27" s="673">
        <v>0</v>
      </c>
      <c r="AM27" s="453">
        <v>1500</v>
      </c>
      <c r="AN27" s="453">
        <v>1485</v>
      </c>
      <c r="AO27" s="665"/>
      <c r="AP27" s="665"/>
      <c r="AQ27" s="666"/>
      <c r="AR27" s="666"/>
      <c r="AS27" s="674">
        <v>1500</v>
      </c>
      <c r="AT27" s="674">
        <v>1485</v>
      </c>
      <c r="AU27" s="660"/>
      <c r="AV27" s="660"/>
      <c r="AW27" s="147"/>
      <c r="AX27" s="119"/>
    </row>
    <row r="28" spans="1:51" ht="31.5" x14ac:dyDescent="0.25">
      <c r="A28" s="448">
        <v>9</v>
      </c>
      <c r="B28" s="449" t="s">
        <v>1685</v>
      </c>
      <c r="C28" s="450" t="s">
        <v>76</v>
      </c>
      <c r="D28" s="450"/>
      <c r="E28" s="450" t="s">
        <v>55</v>
      </c>
      <c r="F28" s="669"/>
      <c r="G28" s="669"/>
      <c r="H28" s="669"/>
      <c r="I28" s="670"/>
      <c r="J28" s="670"/>
      <c r="K28" s="670"/>
      <c r="L28" s="670"/>
      <c r="M28" s="670"/>
      <c r="N28" s="670"/>
      <c r="O28" s="670"/>
      <c r="P28" s="670"/>
      <c r="Q28" s="670"/>
      <c r="R28" s="670"/>
      <c r="S28" s="670"/>
      <c r="T28" s="670"/>
      <c r="U28" s="670"/>
      <c r="V28" s="670"/>
      <c r="W28" s="670"/>
      <c r="X28" s="671">
        <v>1710</v>
      </c>
      <c r="Y28" s="671">
        <v>1695</v>
      </c>
      <c r="Z28" s="671"/>
      <c r="AA28" s="671"/>
      <c r="AB28" s="671"/>
      <c r="AC28" s="669"/>
      <c r="AD28" s="669"/>
      <c r="AE28" s="669"/>
      <c r="AF28" s="669"/>
      <c r="AG28" s="669"/>
      <c r="AH28" s="669"/>
      <c r="AI28" s="669"/>
      <c r="AJ28" s="672"/>
      <c r="AK28" s="673"/>
      <c r="AL28" s="673">
        <v>0</v>
      </c>
      <c r="AM28" s="453">
        <v>1710</v>
      </c>
      <c r="AN28" s="453">
        <v>1695</v>
      </c>
      <c r="AO28" s="665"/>
      <c r="AP28" s="665"/>
      <c r="AQ28" s="666"/>
      <c r="AR28" s="666"/>
      <c r="AS28" s="674">
        <v>1710</v>
      </c>
      <c r="AT28" s="674">
        <v>1695</v>
      </c>
      <c r="AU28" s="660"/>
      <c r="AV28" s="660"/>
      <c r="AW28" s="147"/>
      <c r="AX28" s="119"/>
    </row>
    <row r="29" spans="1:51" ht="47.25" x14ac:dyDescent="0.25">
      <c r="A29" s="448">
        <v>10</v>
      </c>
      <c r="B29" s="449" t="s">
        <v>1686</v>
      </c>
      <c r="C29" s="450" t="s">
        <v>76</v>
      </c>
      <c r="D29" s="450"/>
      <c r="E29" s="450" t="s">
        <v>55</v>
      </c>
      <c r="F29" s="669"/>
      <c r="G29" s="669"/>
      <c r="H29" s="669"/>
      <c r="I29" s="670"/>
      <c r="J29" s="670"/>
      <c r="K29" s="670"/>
      <c r="L29" s="670"/>
      <c r="M29" s="670"/>
      <c r="N29" s="670"/>
      <c r="O29" s="670"/>
      <c r="P29" s="670"/>
      <c r="Q29" s="670"/>
      <c r="R29" s="670"/>
      <c r="S29" s="670"/>
      <c r="T29" s="670"/>
      <c r="U29" s="670"/>
      <c r="V29" s="670"/>
      <c r="W29" s="670"/>
      <c r="X29" s="671">
        <v>1500</v>
      </c>
      <c r="Y29" s="671">
        <v>1485</v>
      </c>
      <c r="Z29" s="676"/>
      <c r="AA29" s="676"/>
      <c r="AB29" s="671"/>
      <c r="AC29" s="669"/>
      <c r="AD29" s="669"/>
      <c r="AE29" s="669"/>
      <c r="AF29" s="669"/>
      <c r="AG29" s="669"/>
      <c r="AH29" s="669"/>
      <c r="AI29" s="669"/>
      <c r="AJ29" s="672"/>
      <c r="AK29" s="673"/>
      <c r="AL29" s="673">
        <v>0</v>
      </c>
      <c r="AM29" s="453">
        <v>1500</v>
      </c>
      <c r="AN29" s="453">
        <v>1485</v>
      </c>
      <c r="AO29" s="665"/>
      <c r="AP29" s="665"/>
      <c r="AQ29" s="666"/>
      <c r="AR29" s="666"/>
      <c r="AS29" s="674">
        <v>1500</v>
      </c>
      <c r="AT29" s="674">
        <v>1485</v>
      </c>
      <c r="AU29" s="660"/>
      <c r="AV29" s="660"/>
      <c r="AW29" s="147"/>
      <c r="AX29" s="119"/>
    </row>
    <row r="30" spans="1:51" ht="31.5" x14ac:dyDescent="0.25">
      <c r="A30" s="448">
        <v>11</v>
      </c>
      <c r="B30" s="449" t="s">
        <v>1687</v>
      </c>
      <c r="C30" s="450" t="s">
        <v>67</v>
      </c>
      <c r="D30" s="450"/>
      <c r="E30" s="450" t="s">
        <v>55</v>
      </c>
      <c r="F30" s="669"/>
      <c r="G30" s="669"/>
      <c r="H30" s="669"/>
      <c r="I30" s="670"/>
      <c r="J30" s="670"/>
      <c r="K30" s="670"/>
      <c r="L30" s="670"/>
      <c r="M30" s="670"/>
      <c r="N30" s="670"/>
      <c r="O30" s="670"/>
      <c r="P30" s="670"/>
      <c r="Q30" s="670"/>
      <c r="R30" s="670"/>
      <c r="S30" s="670"/>
      <c r="T30" s="670"/>
      <c r="U30" s="670"/>
      <c r="V30" s="670"/>
      <c r="W30" s="670"/>
      <c r="X30" s="671">
        <v>1500</v>
      </c>
      <c r="Y30" s="671">
        <v>1485</v>
      </c>
      <c r="Z30" s="671"/>
      <c r="AA30" s="671"/>
      <c r="AB30" s="671"/>
      <c r="AC30" s="669"/>
      <c r="AD30" s="669"/>
      <c r="AE30" s="669"/>
      <c r="AF30" s="669"/>
      <c r="AG30" s="669"/>
      <c r="AH30" s="669"/>
      <c r="AI30" s="669"/>
      <c r="AJ30" s="672"/>
      <c r="AK30" s="673"/>
      <c r="AL30" s="673">
        <v>0</v>
      </c>
      <c r="AM30" s="453">
        <v>1500</v>
      </c>
      <c r="AN30" s="453">
        <v>1485</v>
      </c>
      <c r="AO30" s="665"/>
      <c r="AP30" s="665"/>
      <c r="AQ30" s="666"/>
      <c r="AR30" s="666"/>
      <c r="AS30" s="674">
        <v>1500</v>
      </c>
      <c r="AT30" s="674">
        <v>1485</v>
      </c>
      <c r="AU30" s="660"/>
      <c r="AV30" s="660"/>
      <c r="AW30" s="147"/>
      <c r="AX30" s="119"/>
    </row>
    <row r="31" spans="1:51" ht="31.5" x14ac:dyDescent="0.25">
      <c r="A31" s="448">
        <v>12</v>
      </c>
      <c r="B31" s="449" t="s">
        <v>1688</v>
      </c>
      <c r="C31" s="450" t="s">
        <v>67</v>
      </c>
      <c r="D31" s="450"/>
      <c r="E31" s="450" t="s">
        <v>65</v>
      </c>
      <c r="F31" s="669"/>
      <c r="G31" s="669"/>
      <c r="H31" s="669"/>
      <c r="I31" s="670"/>
      <c r="J31" s="670"/>
      <c r="K31" s="670"/>
      <c r="L31" s="670"/>
      <c r="M31" s="670"/>
      <c r="N31" s="670"/>
      <c r="O31" s="670"/>
      <c r="P31" s="670"/>
      <c r="Q31" s="670"/>
      <c r="R31" s="670"/>
      <c r="S31" s="670"/>
      <c r="T31" s="670"/>
      <c r="U31" s="670"/>
      <c r="V31" s="670"/>
      <c r="W31" s="670"/>
      <c r="X31" s="671">
        <v>1500</v>
      </c>
      <c r="Y31" s="671">
        <v>1433</v>
      </c>
      <c r="Z31" s="658"/>
      <c r="AA31" s="658"/>
      <c r="AB31" s="671"/>
      <c r="AC31" s="669"/>
      <c r="AD31" s="669"/>
      <c r="AE31" s="669"/>
      <c r="AF31" s="669"/>
      <c r="AG31" s="669"/>
      <c r="AH31" s="669"/>
      <c r="AI31" s="669"/>
      <c r="AJ31" s="672"/>
      <c r="AK31" s="673">
        <v>52</v>
      </c>
      <c r="AL31" s="673"/>
      <c r="AM31" s="453">
        <v>1500</v>
      </c>
      <c r="AN31" s="453">
        <v>1485</v>
      </c>
      <c r="AO31" s="665"/>
      <c r="AP31" s="665"/>
      <c r="AQ31" s="666"/>
      <c r="AR31" s="666"/>
      <c r="AS31" s="674">
        <v>1500</v>
      </c>
      <c r="AT31" s="674">
        <v>1485</v>
      </c>
      <c r="AU31" s="660"/>
      <c r="AV31" s="660"/>
      <c r="AW31" s="147"/>
      <c r="AX31" s="119"/>
    </row>
    <row r="32" spans="1:51" ht="31.5" x14ac:dyDescent="0.25">
      <c r="A32" s="448">
        <v>13</v>
      </c>
      <c r="B32" s="449" t="s">
        <v>1689</v>
      </c>
      <c r="C32" s="450" t="s">
        <v>67</v>
      </c>
      <c r="D32" s="450"/>
      <c r="E32" s="450" t="s">
        <v>65</v>
      </c>
      <c r="F32" s="669"/>
      <c r="G32" s="669"/>
      <c r="H32" s="669"/>
      <c r="I32" s="670"/>
      <c r="J32" s="670"/>
      <c r="K32" s="670"/>
      <c r="L32" s="670"/>
      <c r="M32" s="670"/>
      <c r="N32" s="670"/>
      <c r="O32" s="670"/>
      <c r="P32" s="670"/>
      <c r="Q32" s="670"/>
      <c r="R32" s="670"/>
      <c r="S32" s="670"/>
      <c r="T32" s="670"/>
      <c r="U32" s="670"/>
      <c r="V32" s="670"/>
      <c r="W32" s="670"/>
      <c r="X32" s="671">
        <v>1200</v>
      </c>
      <c r="Y32" s="671">
        <v>1146</v>
      </c>
      <c r="Z32" s="658"/>
      <c r="AA32" s="658"/>
      <c r="AB32" s="671"/>
      <c r="AC32" s="669"/>
      <c r="AD32" s="669"/>
      <c r="AE32" s="669"/>
      <c r="AF32" s="669"/>
      <c r="AG32" s="669"/>
      <c r="AH32" s="669"/>
      <c r="AI32" s="669"/>
      <c r="AJ32" s="672"/>
      <c r="AK32" s="673"/>
      <c r="AL32" s="673">
        <v>39</v>
      </c>
      <c r="AM32" s="677">
        <v>1118</v>
      </c>
      <c r="AN32" s="677">
        <v>1107</v>
      </c>
      <c r="AO32" s="665"/>
      <c r="AP32" s="665"/>
      <c r="AQ32" s="666"/>
      <c r="AR32" s="666"/>
      <c r="AS32" s="674">
        <v>1118</v>
      </c>
      <c r="AT32" s="674">
        <v>1107</v>
      </c>
      <c r="AU32" s="660"/>
      <c r="AV32" s="660"/>
      <c r="AW32" s="147"/>
      <c r="AX32" s="119"/>
    </row>
    <row r="33" spans="1:50" ht="31.5" x14ac:dyDescent="0.25">
      <c r="A33" s="448">
        <v>14</v>
      </c>
      <c r="B33" s="449" t="s">
        <v>1690</v>
      </c>
      <c r="C33" s="450" t="s">
        <v>67</v>
      </c>
      <c r="D33" s="450"/>
      <c r="E33" s="450" t="s">
        <v>65</v>
      </c>
      <c r="F33" s="669"/>
      <c r="G33" s="669"/>
      <c r="H33" s="669"/>
      <c r="I33" s="670"/>
      <c r="J33" s="670"/>
      <c r="K33" s="670"/>
      <c r="L33" s="670"/>
      <c r="M33" s="670"/>
      <c r="N33" s="670"/>
      <c r="O33" s="670"/>
      <c r="P33" s="670"/>
      <c r="Q33" s="670"/>
      <c r="R33" s="670"/>
      <c r="S33" s="670"/>
      <c r="T33" s="670"/>
      <c r="U33" s="670"/>
      <c r="V33" s="670"/>
      <c r="W33" s="670"/>
      <c r="X33" s="671">
        <v>600</v>
      </c>
      <c r="Y33" s="671">
        <v>573</v>
      </c>
      <c r="Z33" s="678"/>
      <c r="AA33" s="678"/>
      <c r="AB33" s="671"/>
      <c r="AC33" s="669"/>
      <c r="AD33" s="669"/>
      <c r="AE33" s="669"/>
      <c r="AF33" s="669"/>
      <c r="AG33" s="669"/>
      <c r="AH33" s="669"/>
      <c r="AI33" s="669"/>
      <c r="AJ33" s="672"/>
      <c r="AK33" s="673"/>
      <c r="AL33" s="673">
        <v>19</v>
      </c>
      <c r="AM33" s="679">
        <v>559</v>
      </c>
      <c r="AN33" s="679">
        <v>554</v>
      </c>
      <c r="AO33" s="665"/>
      <c r="AP33" s="665"/>
      <c r="AQ33" s="666"/>
      <c r="AR33" s="666"/>
      <c r="AS33" s="674">
        <v>559</v>
      </c>
      <c r="AT33" s="674">
        <v>554</v>
      </c>
      <c r="AU33" s="660"/>
      <c r="AV33" s="660"/>
      <c r="AW33" s="147"/>
      <c r="AX33" s="119"/>
    </row>
    <row r="34" spans="1:50" ht="31.5" x14ac:dyDescent="0.25">
      <c r="A34" s="448">
        <v>15</v>
      </c>
      <c r="B34" s="449" t="s">
        <v>1691</v>
      </c>
      <c r="C34" s="450" t="s">
        <v>1692</v>
      </c>
      <c r="D34" s="450"/>
      <c r="E34" s="450" t="s">
        <v>55</v>
      </c>
      <c r="F34" s="669"/>
      <c r="G34" s="669"/>
      <c r="H34" s="669"/>
      <c r="I34" s="670"/>
      <c r="J34" s="670"/>
      <c r="K34" s="670"/>
      <c r="L34" s="670"/>
      <c r="M34" s="670"/>
      <c r="N34" s="670"/>
      <c r="O34" s="670"/>
      <c r="P34" s="670"/>
      <c r="Q34" s="670"/>
      <c r="R34" s="670"/>
      <c r="S34" s="670"/>
      <c r="T34" s="670"/>
      <c r="U34" s="670"/>
      <c r="V34" s="670"/>
      <c r="W34" s="670"/>
      <c r="X34" s="671">
        <v>500</v>
      </c>
      <c r="Y34" s="671">
        <v>495</v>
      </c>
      <c r="Z34" s="680"/>
      <c r="AA34" s="680"/>
      <c r="AB34" s="671"/>
      <c r="AC34" s="669"/>
      <c r="AD34" s="669"/>
      <c r="AE34" s="669"/>
      <c r="AF34" s="669"/>
      <c r="AG34" s="669"/>
      <c r="AH34" s="669"/>
      <c r="AI34" s="669"/>
      <c r="AJ34" s="672"/>
      <c r="AK34" s="673"/>
      <c r="AL34" s="673"/>
      <c r="AM34" s="453">
        <v>500</v>
      </c>
      <c r="AN34" s="453">
        <v>495</v>
      </c>
      <c r="AO34" s="665"/>
      <c r="AP34" s="665"/>
      <c r="AQ34" s="666"/>
      <c r="AR34" s="666"/>
      <c r="AS34" s="674">
        <v>500</v>
      </c>
      <c r="AT34" s="674">
        <v>495</v>
      </c>
      <c r="AU34" s="660"/>
      <c r="AV34" s="660"/>
      <c r="AW34" s="147"/>
      <c r="AX34" s="119"/>
    </row>
    <row r="35" spans="1:50" ht="47.25" x14ac:dyDescent="0.25">
      <c r="A35" s="448">
        <v>16</v>
      </c>
      <c r="B35" s="449" t="s">
        <v>1693</v>
      </c>
      <c r="C35" s="450" t="s">
        <v>1692</v>
      </c>
      <c r="D35" s="450"/>
      <c r="E35" s="450" t="s">
        <v>65</v>
      </c>
      <c r="F35" s="669"/>
      <c r="G35" s="669"/>
      <c r="H35" s="669"/>
      <c r="I35" s="670"/>
      <c r="J35" s="670"/>
      <c r="K35" s="670"/>
      <c r="L35" s="670"/>
      <c r="M35" s="670"/>
      <c r="N35" s="670"/>
      <c r="O35" s="670"/>
      <c r="P35" s="670"/>
      <c r="Q35" s="670"/>
      <c r="R35" s="670"/>
      <c r="S35" s="670"/>
      <c r="T35" s="670"/>
      <c r="U35" s="670"/>
      <c r="V35" s="670"/>
      <c r="W35" s="670"/>
      <c r="X35" s="671">
        <v>500</v>
      </c>
      <c r="Y35" s="671">
        <v>478</v>
      </c>
      <c r="Z35" s="671"/>
      <c r="AA35" s="671"/>
      <c r="AB35" s="671"/>
      <c r="AC35" s="669"/>
      <c r="AD35" s="669"/>
      <c r="AE35" s="669"/>
      <c r="AF35" s="669"/>
      <c r="AG35" s="669"/>
      <c r="AH35" s="669"/>
      <c r="AI35" s="669"/>
      <c r="AJ35" s="672"/>
      <c r="AK35" s="673">
        <v>17</v>
      </c>
      <c r="AL35" s="673"/>
      <c r="AM35" s="453">
        <v>500</v>
      </c>
      <c r="AN35" s="453">
        <v>495</v>
      </c>
      <c r="AO35" s="665"/>
      <c r="AP35" s="665"/>
      <c r="AQ35" s="666"/>
      <c r="AR35" s="666"/>
      <c r="AS35" s="674">
        <v>500</v>
      </c>
      <c r="AT35" s="674">
        <v>495</v>
      </c>
      <c r="AU35" s="660"/>
      <c r="AV35" s="660"/>
      <c r="AW35" s="147"/>
      <c r="AX35" s="119"/>
    </row>
    <row r="36" spans="1:50" ht="31.5" x14ac:dyDescent="0.25">
      <c r="A36" s="448">
        <v>17</v>
      </c>
      <c r="B36" s="449" t="s">
        <v>1694</v>
      </c>
      <c r="C36" s="450" t="s">
        <v>75</v>
      </c>
      <c r="D36" s="450"/>
      <c r="E36" s="450" t="s">
        <v>55</v>
      </c>
      <c r="F36" s="669"/>
      <c r="G36" s="669"/>
      <c r="H36" s="669"/>
      <c r="I36" s="670"/>
      <c r="J36" s="670"/>
      <c r="K36" s="670"/>
      <c r="L36" s="670"/>
      <c r="M36" s="670"/>
      <c r="N36" s="670"/>
      <c r="O36" s="670"/>
      <c r="P36" s="670"/>
      <c r="Q36" s="670"/>
      <c r="R36" s="670"/>
      <c r="S36" s="670"/>
      <c r="T36" s="670"/>
      <c r="U36" s="670"/>
      <c r="V36" s="670"/>
      <c r="W36" s="670"/>
      <c r="X36" s="671">
        <v>3000</v>
      </c>
      <c r="Y36" s="671">
        <v>2970</v>
      </c>
      <c r="Z36" s="671"/>
      <c r="AA36" s="671"/>
      <c r="AB36" s="671"/>
      <c r="AC36" s="669"/>
      <c r="AD36" s="669"/>
      <c r="AE36" s="669"/>
      <c r="AF36" s="669"/>
      <c r="AG36" s="669"/>
      <c r="AH36" s="669"/>
      <c r="AI36" s="669"/>
      <c r="AJ36" s="672"/>
      <c r="AK36" s="673"/>
      <c r="AL36" s="673">
        <v>0</v>
      </c>
      <c r="AM36" s="453">
        <v>3000</v>
      </c>
      <c r="AN36" s="453">
        <v>2970</v>
      </c>
      <c r="AO36" s="665"/>
      <c r="AP36" s="665"/>
      <c r="AQ36" s="666"/>
      <c r="AR36" s="666"/>
      <c r="AS36" s="674">
        <v>3000</v>
      </c>
      <c r="AT36" s="674">
        <v>2970</v>
      </c>
      <c r="AU36" s="660"/>
      <c r="AV36" s="660"/>
      <c r="AW36" s="147"/>
      <c r="AX36" s="119"/>
    </row>
    <row r="37" spans="1:50" ht="31.5" x14ac:dyDescent="0.25">
      <c r="A37" s="448">
        <v>18</v>
      </c>
      <c r="B37" s="449" t="s">
        <v>1695</v>
      </c>
      <c r="C37" s="450" t="s">
        <v>75</v>
      </c>
      <c r="D37" s="450" t="s">
        <v>880</v>
      </c>
      <c r="E37" s="450" t="s">
        <v>65</v>
      </c>
      <c r="F37" s="669"/>
      <c r="G37" s="669"/>
      <c r="H37" s="669"/>
      <c r="I37" s="670"/>
      <c r="J37" s="670"/>
      <c r="K37" s="670"/>
      <c r="L37" s="670"/>
      <c r="M37" s="670"/>
      <c r="N37" s="670"/>
      <c r="O37" s="670"/>
      <c r="P37" s="670"/>
      <c r="Q37" s="670"/>
      <c r="R37" s="670"/>
      <c r="S37" s="670"/>
      <c r="T37" s="670"/>
      <c r="U37" s="670"/>
      <c r="V37" s="670"/>
      <c r="W37" s="670"/>
      <c r="X37" s="671">
        <v>3100</v>
      </c>
      <c r="Y37" s="671">
        <v>2962</v>
      </c>
      <c r="Z37" s="671"/>
      <c r="AA37" s="671"/>
      <c r="AB37" s="671"/>
      <c r="AC37" s="669"/>
      <c r="AD37" s="669"/>
      <c r="AE37" s="669"/>
      <c r="AF37" s="669"/>
      <c r="AG37" s="669"/>
      <c r="AH37" s="669"/>
      <c r="AI37" s="669"/>
      <c r="AJ37" s="672"/>
      <c r="AK37" s="673">
        <v>107</v>
      </c>
      <c r="AL37" s="673"/>
      <c r="AM37" s="453">
        <v>3100</v>
      </c>
      <c r="AN37" s="453">
        <v>3069</v>
      </c>
      <c r="AO37" s="665"/>
      <c r="AP37" s="665"/>
      <c r="AQ37" s="666"/>
      <c r="AR37" s="666"/>
      <c r="AS37" s="674">
        <v>3100</v>
      </c>
      <c r="AT37" s="674">
        <v>3069</v>
      </c>
      <c r="AU37" s="660"/>
      <c r="AV37" s="660"/>
      <c r="AW37" s="147"/>
      <c r="AX37" s="119"/>
    </row>
    <row r="38" spans="1:50" ht="47.25" x14ac:dyDescent="0.25">
      <c r="A38" s="448">
        <v>19</v>
      </c>
      <c r="B38" s="449" t="s">
        <v>1696</v>
      </c>
      <c r="C38" s="450" t="s">
        <v>74</v>
      </c>
      <c r="D38" s="450"/>
      <c r="E38" s="450" t="s">
        <v>55</v>
      </c>
      <c r="F38" s="669"/>
      <c r="G38" s="669"/>
      <c r="H38" s="669"/>
      <c r="I38" s="670"/>
      <c r="J38" s="670"/>
      <c r="K38" s="670"/>
      <c r="L38" s="670"/>
      <c r="M38" s="670"/>
      <c r="N38" s="670"/>
      <c r="O38" s="670"/>
      <c r="P38" s="670"/>
      <c r="Q38" s="670"/>
      <c r="R38" s="670"/>
      <c r="S38" s="670"/>
      <c r="T38" s="670"/>
      <c r="U38" s="670"/>
      <c r="V38" s="670"/>
      <c r="W38" s="670"/>
      <c r="X38" s="671">
        <v>1500</v>
      </c>
      <c r="Y38" s="671">
        <v>1485</v>
      </c>
      <c r="Z38" s="671"/>
      <c r="AA38" s="671"/>
      <c r="AB38" s="671"/>
      <c r="AC38" s="669"/>
      <c r="AD38" s="669"/>
      <c r="AE38" s="669"/>
      <c r="AF38" s="669"/>
      <c r="AG38" s="669"/>
      <c r="AH38" s="669"/>
      <c r="AI38" s="669"/>
      <c r="AJ38" s="672"/>
      <c r="AK38" s="673"/>
      <c r="AL38" s="673">
        <v>0</v>
      </c>
      <c r="AM38" s="453">
        <v>1500</v>
      </c>
      <c r="AN38" s="453">
        <v>1485</v>
      </c>
      <c r="AO38" s="665"/>
      <c r="AP38" s="665"/>
      <c r="AQ38" s="666"/>
      <c r="AR38" s="666"/>
      <c r="AS38" s="674">
        <v>1500</v>
      </c>
      <c r="AT38" s="674">
        <v>1485</v>
      </c>
      <c r="AU38" s="660"/>
      <c r="AV38" s="660"/>
      <c r="AW38" s="147"/>
      <c r="AX38" s="119"/>
    </row>
    <row r="39" spans="1:50" ht="47.25" x14ac:dyDescent="0.25">
      <c r="A39" s="448">
        <v>20</v>
      </c>
      <c r="B39" s="449" t="s">
        <v>1697</v>
      </c>
      <c r="C39" s="450" t="s">
        <v>74</v>
      </c>
      <c r="D39" s="450" t="s">
        <v>66</v>
      </c>
      <c r="E39" s="450" t="s">
        <v>65</v>
      </c>
      <c r="F39" s="669"/>
      <c r="G39" s="669"/>
      <c r="H39" s="669"/>
      <c r="I39" s="670"/>
      <c r="J39" s="670"/>
      <c r="K39" s="670"/>
      <c r="L39" s="670"/>
      <c r="M39" s="670"/>
      <c r="N39" s="670"/>
      <c r="O39" s="670"/>
      <c r="P39" s="670"/>
      <c r="Q39" s="670"/>
      <c r="R39" s="670"/>
      <c r="S39" s="670"/>
      <c r="T39" s="670"/>
      <c r="U39" s="670"/>
      <c r="V39" s="670"/>
      <c r="W39" s="670"/>
      <c r="X39" s="671">
        <v>4500</v>
      </c>
      <c r="Y39" s="671">
        <v>4300</v>
      </c>
      <c r="Z39" s="671"/>
      <c r="AA39" s="671"/>
      <c r="AB39" s="671"/>
      <c r="AC39" s="669"/>
      <c r="AD39" s="669"/>
      <c r="AE39" s="669"/>
      <c r="AF39" s="669"/>
      <c r="AG39" s="669"/>
      <c r="AH39" s="669"/>
      <c r="AI39" s="669"/>
      <c r="AJ39" s="672"/>
      <c r="AK39" s="673">
        <v>155</v>
      </c>
      <c r="AL39" s="673"/>
      <c r="AM39" s="453">
        <v>4500</v>
      </c>
      <c r="AN39" s="453">
        <v>4455</v>
      </c>
      <c r="AO39" s="665"/>
      <c r="AP39" s="665"/>
      <c r="AQ39" s="666"/>
      <c r="AR39" s="666"/>
      <c r="AS39" s="674">
        <v>4500</v>
      </c>
      <c r="AT39" s="674">
        <v>4455</v>
      </c>
      <c r="AU39" s="660"/>
      <c r="AV39" s="660"/>
      <c r="AW39" s="147"/>
      <c r="AX39" s="119"/>
    </row>
    <row r="40" spans="1:50" ht="52.5" customHeight="1" x14ac:dyDescent="0.25">
      <c r="A40" s="448">
        <v>21</v>
      </c>
      <c r="B40" s="449" t="s">
        <v>1698</v>
      </c>
      <c r="C40" s="450" t="s">
        <v>68</v>
      </c>
      <c r="D40" s="450"/>
      <c r="E40" s="450" t="s">
        <v>55</v>
      </c>
      <c r="F40" s="669"/>
      <c r="G40" s="669"/>
      <c r="H40" s="669"/>
      <c r="I40" s="670"/>
      <c r="J40" s="670"/>
      <c r="K40" s="670"/>
      <c r="L40" s="670"/>
      <c r="M40" s="670"/>
      <c r="N40" s="670"/>
      <c r="O40" s="670"/>
      <c r="P40" s="670"/>
      <c r="Q40" s="670"/>
      <c r="R40" s="670"/>
      <c r="S40" s="670"/>
      <c r="T40" s="670"/>
      <c r="U40" s="670"/>
      <c r="V40" s="670"/>
      <c r="W40" s="670"/>
      <c r="X40" s="671">
        <v>1500</v>
      </c>
      <c r="Y40" s="671">
        <v>1485</v>
      </c>
      <c r="Z40" s="671"/>
      <c r="AA40" s="671"/>
      <c r="AB40" s="671"/>
      <c r="AC40" s="669"/>
      <c r="AD40" s="669"/>
      <c r="AE40" s="669"/>
      <c r="AF40" s="669"/>
      <c r="AG40" s="669"/>
      <c r="AH40" s="669"/>
      <c r="AI40" s="669"/>
      <c r="AJ40" s="672"/>
      <c r="AK40" s="673"/>
      <c r="AL40" s="673">
        <v>0</v>
      </c>
      <c r="AM40" s="453">
        <v>1500</v>
      </c>
      <c r="AN40" s="453">
        <v>1485</v>
      </c>
      <c r="AO40" s="665"/>
      <c r="AP40" s="665"/>
      <c r="AQ40" s="666"/>
      <c r="AR40" s="666"/>
      <c r="AS40" s="674">
        <v>1500</v>
      </c>
      <c r="AT40" s="674">
        <v>1485</v>
      </c>
      <c r="AU40" s="660"/>
      <c r="AV40" s="660"/>
      <c r="AW40" s="147"/>
      <c r="AX40" s="119"/>
    </row>
    <row r="41" spans="1:50" ht="51.75" customHeight="1" x14ac:dyDescent="0.25">
      <c r="A41" s="448">
        <v>22</v>
      </c>
      <c r="B41" s="449" t="s">
        <v>1699</v>
      </c>
      <c r="C41" s="450" t="s">
        <v>68</v>
      </c>
      <c r="D41" s="450"/>
      <c r="E41" s="450" t="s">
        <v>65</v>
      </c>
      <c r="F41" s="669"/>
      <c r="G41" s="669"/>
      <c r="H41" s="669"/>
      <c r="I41" s="670"/>
      <c r="J41" s="670"/>
      <c r="K41" s="670"/>
      <c r="L41" s="670"/>
      <c r="M41" s="670"/>
      <c r="N41" s="670"/>
      <c r="O41" s="670"/>
      <c r="P41" s="670"/>
      <c r="Q41" s="670"/>
      <c r="R41" s="670"/>
      <c r="S41" s="670"/>
      <c r="T41" s="670"/>
      <c r="U41" s="670"/>
      <c r="V41" s="670"/>
      <c r="W41" s="670"/>
      <c r="X41" s="671">
        <v>1000</v>
      </c>
      <c r="Y41" s="671">
        <v>956</v>
      </c>
      <c r="Z41" s="671"/>
      <c r="AA41" s="671"/>
      <c r="AB41" s="671"/>
      <c r="AC41" s="669"/>
      <c r="AD41" s="669"/>
      <c r="AE41" s="669"/>
      <c r="AF41" s="669"/>
      <c r="AG41" s="669"/>
      <c r="AH41" s="669"/>
      <c r="AI41" s="669"/>
      <c r="AJ41" s="672"/>
      <c r="AK41" s="673">
        <v>34</v>
      </c>
      <c r="AL41" s="673"/>
      <c r="AM41" s="453">
        <v>1000</v>
      </c>
      <c r="AN41" s="453">
        <v>990</v>
      </c>
      <c r="AO41" s="665"/>
      <c r="AP41" s="665"/>
      <c r="AQ41" s="666"/>
      <c r="AR41" s="666"/>
      <c r="AS41" s="674">
        <v>1000</v>
      </c>
      <c r="AT41" s="674">
        <v>990</v>
      </c>
      <c r="AU41" s="660"/>
      <c r="AV41" s="660"/>
      <c r="AW41" s="147"/>
      <c r="AX41" s="119"/>
    </row>
    <row r="42" spans="1:50" ht="47.25" x14ac:dyDescent="0.25">
      <c r="A42" s="448">
        <v>23</v>
      </c>
      <c r="B42" s="449" t="s">
        <v>1700</v>
      </c>
      <c r="C42" s="450" t="s">
        <v>68</v>
      </c>
      <c r="D42" s="450"/>
      <c r="E42" s="450" t="s">
        <v>65</v>
      </c>
      <c r="F42" s="669"/>
      <c r="G42" s="669"/>
      <c r="H42" s="669"/>
      <c r="I42" s="670"/>
      <c r="J42" s="670"/>
      <c r="K42" s="670"/>
      <c r="L42" s="670"/>
      <c r="M42" s="670"/>
      <c r="N42" s="670"/>
      <c r="O42" s="670"/>
      <c r="P42" s="670"/>
      <c r="Q42" s="670"/>
      <c r="R42" s="670"/>
      <c r="S42" s="670"/>
      <c r="T42" s="670"/>
      <c r="U42" s="670"/>
      <c r="V42" s="670"/>
      <c r="W42" s="670"/>
      <c r="X42" s="671">
        <v>1000</v>
      </c>
      <c r="Y42" s="671">
        <v>956</v>
      </c>
      <c r="Z42" s="671"/>
      <c r="AA42" s="671"/>
      <c r="AB42" s="671"/>
      <c r="AC42" s="669"/>
      <c r="AD42" s="669"/>
      <c r="AE42" s="669"/>
      <c r="AF42" s="669"/>
      <c r="AG42" s="669"/>
      <c r="AH42" s="669"/>
      <c r="AI42" s="669"/>
      <c r="AJ42" s="672"/>
      <c r="AK42" s="673">
        <v>61</v>
      </c>
      <c r="AL42" s="673"/>
      <c r="AM42" s="811">
        <v>1026</v>
      </c>
      <c r="AN42" s="811">
        <v>1017</v>
      </c>
      <c r="AO42" s="665"/>
      <c r="AP42" s="665"/>
      <c r="AQ42" s="666"/>
      <c r="AR42" s="666"/>
      <c r="AS42" s="674">
        <v>1026</v>
      </c>
      <c r="AT42" s="674">
        <v>1017</v>
      </c>
      <c r="AU42" s="660"/>
      <c r="AV42" s="660"/>
      <c r="AW42" s="643"/>
      <c r="AX42" s="119"/>
    </row>
    <row r="43" spans="1:50" ht="47.25" x14ac:dyDescent="0.25">
      <c r="A43" s="448">
        <v>24</v>
      </c>
      <c r="B43" s="449" t="s">
        <v>1701</v>
      </c>
      <c r="C43" s="450" t="s">
        <v>68</v>
      </c>
      <c r="D43" s="450"/>
      <c r="E43" s="450" t="s">
        <v>65</v>
      </c>
      <c r="F43" s="669"/>
      <c r="G43" s="669"/>
      <c r="H43" s="669"/>
      <c r="I43" s="670"/>
      <c r="J43" s="670"/>
      <c r="K43" s="670"/>
      <c r="L43" s="670"/>
      <c r="M43" s="670"/>
      <c r="N43" s="670"/>
      <c r="O43" s="670"/>
      <c r="P43" s="670"/>
      <c r="Q43" s="670"/>
      <c r="R43" s="670"/>
      <c r="S43" s="670"/>
      <c r="T43" s="670"/>
      <c r="U43" s="670"/>
      <c r="V43" s="670"/>
      <c r="W43" s="670"/>
      <c r="X43" s="671">
        <v>1500</v>
      </c>
      <c r="Y43" s="671">
        <v>1433</v>
      </c>
      <c r="Z43" s="671"/>
      <c r="AA43" s="671"/>
      <c r="AB43" s="671"/>
      <c r="AC43" s="669"/>
      <c r="AD43" s="669"/>
      <c r="AE43" s="669"/>
      <c r="AF43" s="669"/>
      <c r="AG43" s="669"/>
      <c r="AH43" s="669"/>
      <c r="AI43" s="669"/>
      <c r="AJ43" s="672"/>
      <c r="AK43" s="673"/>
      <c r="AL43" s="673">
        <v>1433</v>
      </c>
      <c r="AM43" s="675"/>
      <c r="AN43" s="675"/>
      <c r="AO43" s="665"/>
      <c r="AP43" s="665"/>
      <c r="AQ43" s="666"/>
      <c r="AR43" s="666"/>
      <c r="AS43" s="674"/>
      <c r="AT43" s="674"/>
      <c r="AU43" s="660"/>
      <c r="AV43" s="660"/>
      <c r="AW43" s="147"/>
      <c r="AX43" s="119"/>
    </row>
    <row r="44" spans="1:50" ht="31.5" x14ac:dyDescent="0.25">
      <c r="A44" s="448">
        <v>25</v>
      </c>
      <c r="B44" s="449" t="s">
        <v>1702</v>
      </c>
      <c r="C44" s="450" t="s">
        <v>77</v>
      </c>
      <c r="D44" s="450"/>
      <c r="E44" s="450" t="s">
        <v>55</v>
      </c>
      <c r="F44" s="669"/>
      <c r="G44" s="669"/>
      <c r="H44" s="669"/>
      <c r="I44" s="670"/>
      <c r="J44" s="670"/>
      <c r="K44" s="670"/>
      <c r="L44" s="670"/>
      <c r="M44" s="670"/>
      <c r="N44" s="670"/>
      <c r="O44" s="670"/>
      <c r="P44" s="670"/>
      <c r="Q44" s="670"/>
      <c r="R44" s="670"/>
      <c r="S44" s="670"/>
      <c r="T44" s="670"/>
      <c r="U44" s="670"/>
      <c r="V44" s="670"/>
      <c r="W44" s="670"/>
      <c r="X44" s="671">
        <v>1500</v>
      </c>
      <c r="Y44" s="671">
        <v>1485</v>
      </c>
      <c r="Z44" s="671"/>
      <c r="AA44" s="671"/>
      <c r="AB44" s="671"/>
      <c r="AC44" s="669"/>
      <c r="AD44" s="669"/>
      <c r="AE44" s="669"/>
      <c r="AF44" s="669"/>
      <c r="AG44" s="669"/>
      <c r="AH44" s="669"/>
      <c r="AI44" s="669"/>
      <c r="AJ44" s="672"/>
      <c r="AK44" s="673"/>
      <c r="AL44" s="673"/>
      <c r="AM44" s="453">
        <v>1500</v>
      </c>
      <c r="AN44" s="453">
        <v>1485</v>
      </c>
      <c r="AO44" s="665"/>
      <c r="AP44" s="665"/>
      <c r="AQ44" s="666"/>
      <c r="AR44" s="666"/>
      <c r="AS44" s="674">
        <v>1500</v>
      </c>
      <c r="AT44" s="674">
        <v>1485</v>
      </c>
      <c r="AU44" s="660"/>
      <c r="AV44" s="660"/>
      <c r="AW44" s="147"/>
      <c r="AX44" s="119"/>
    </row>
    <row r="45" spans="1:50" ht="31.5" x14ac:dyDescent="0.25">
      <c r="A45" s="448">
        <v>26</v>
      </c>
      <c r="B45" s="449" t="s">
        <v>1703</v>
      </c>
      <c r="C45" s="450" t="s">
        <v>77</v>
      </c>
      <c r="D45" s="450"/>
      <c r="E45" s="450" t="s">
        <v>65</v>
      </c>
      <c r="F45" s="669"/>
      <c r="G45" s="669"/>
      <c r="H45" s="669"/>
      <c r="I45" s="670"/>
      <c r="J45" s="670"/>
      <c r="K45" s="670"/>
      <c r="L45" s="670"/>
      <c r="M45" s="670"/>
      <c r="N45" s="670"/>
      <c r="O45" s="670"/>
      <c r="P45" s="670"/>
      <c r="Q45" s="670"/>
      <c r="R45" s="670"/>
      <c r="S45" s="670"/>
      <c r="T45" s="670"/>
      <c r="U45" s="670"/>
      <c r="V45" s="670"/>
      <c r="W45" s="670"/>
      <c r="X45" s="671">
        <v>2550</v>
      </c>
      <c r="Y45" s="671">
        <v>2437</v>
      </c>
      <c r="Z45" s="671"/>
      <c r="AA45" s="671"/>
      <c r="AB45" s="671"/>
      <c r="AC45" s="669"/>
      <c r="AD45" s="669"/>
      <c r="AE45" s="669"/>
      <c r="AF45" s="669"/>
      <c r="AG45" s="669"/>
      <c r="AH45" s="669"/>
      <c r="AI45" s="669"/>
      <c r="AJ45" s="672"/>
      <c r="AK45" s="673"/>
      <c r="AL45" s="673">
        <v>83</v>
      </c>
      <c r="AM45" s="811">
        <v>2377</v>
      </c>
      <c r="AN45" s="811">
        <v>2354</v>
      </c>
      <c r="AO45" s="665"/>
      <c r="AP45" s="665"/>
      <c r="AQ45" s="666"/>
      <c r="AR45" s="666"/>
      <c r="AS45" s="674">
        <v>2377</v>
      </c>
      <c r="AT45" s="674">
        <v>2354</v>
      </c>
      <c r="AU45" s="660"/>
      <c r="AV45" s="660"/>
      <c r="AW45" s="147"/>
      <c r="AX45" s="119"/>
    </row>
    <row r="46" spans="1:50" ht="31.5" x14ac:dyDescent="0.25">
      <c r="A46" s="448">
        <v>27</v>
      </c>
      <c r="B46" s="449" t="s">
        <v>1704</v>
      </c>
      <c r="C46" s="450" t="s">
        <v>77</v>
      </c>
      <c r="D46" s="450"/>
      <c r="E46" s="450" t="s">
        <v>65</v>
      </c>
      <c r="F46" s="669"/>
      <c r="G46" s="669"/>
      <c r="H46" s="669"/>
      <c r="I46" s="670"/>
      <c r="J46" s="670"/>
      <c r="K46" s="670"/>
      <c r="L46" s="670"/>
      <c r="M46" s="670"/>
      <c r="N46" s="670"/>
      <c r="O46" s="670"/>
      <c r="P46" s="670"/>
      <c r="Q46" s="670"/>
      <c r="R46" s="670"/>
      <c r="S46" s="670"/>
      <c r="T46" s="670"/>
      <c r="U46" s="670"/>
      <c r="V46" s="670"/>
      <c r="W46" s="670"/>
      <c r="X46" s="671">
        <v>1000</v>
      </c>
      <c r="Y46" s="671">
        <v>956</v>
      </c>
      <c r="Z46" s="671"/>
      <c r="AA46" s="671"/>
      <c r="AB46" s="671"/>
      <c r="AC46" s="669"/>
      <c r="AD46" s="669"/>
      <c r="AE46" s="669"/>
      <c r="AF46" s="669"/>
      <c r="AG46" s="669"/>
      <c r="AH46" s="669"/>
      <c r="AI46" s="669"/>
      <c r="AJ46" s="672"/>
      <c r="AK46" s="673"/>
      <c r="AL46" s="673">
        <v>32</v>
      </c>
      <c r="AM46" s="811">
        <v>933</v>
      </c>
      <c r="AN46" s="811">
        <v>924</v>
      </c>
      <c r="AO46" s="665"/>
      <c r="AP46" s="665"/>
      <c r="AQ46" s="666"/>
      <c r="AR46" s="666"/>
      <c r="AS46" s="674">
        <v>933</v>
      </c>
      <c r="AT46" s="674">
        <v>924</v>
      </c>
      <c r="AU46" s="660"/>
      <c r="AV46" s="660"/>
      <c r="AW46" s="147"/>
      <c r="AX46" s="119"/>
    </row>
    <row r="47" spans="1:50" ht="31.5" x14ac:dyDescent="0.25">
      <c r="A47" s="448">
        <v>28</v>
      </c>
      <c r="B47" s="449" t="s">
        <v>1705</v>
      </c>
      <c r="C47" s="450" t="s">
        <v>64</v>
      </c>
      <c r="D47" s="450"/>
      <c r="E47" s="450" t="s">
        <v>55</v>
      </c>
      <c r="F47" s="669"/>
      <c r="G47" s="669"/>
      <c r="H47" s="669"/>
      <c r="I47" s="670"/>
      <c r="J47" s="670"/>
      <c r="K47" s="670"/>
      <c r="L47" s="670"/>
      <c r="M47" s="670"/>
      <c r="N47" s="670"/>
      <c r="O47" s="670"/>
      <c r="P47" s="670"/>
      <c r="Q47" s="670"/>
      <c r="R47" s="670"/>
      <c r="S47" s="670"/>
      <c r="T47" s="670"/>
      <c r="U47" s="670"/>
      <c r="V47" s="670"/>
      <c r="W47" s="670"/>
      <c r="X47" s="671">
        <v>1000</v>
      </c>
      <c r="Y47" s="671">
        <v>956</v>
      </c>
      <c r="Z47" s="671"/>
      <c r="AA47" s="671"/>
      <c r="AB47" s="671"/>
      <c r="AC47" s="669"/>
      <c r="AD47" s="669"/>
      <c r="AE47" s="669"/>
      <c r="AF47" s="669"/>
      <c r="AG47" s="669"/>
      <c r="AH47" s="669"/>
      <c r="AI47" s="669"/>
      <c r="AJ47" s="672"/>
      <c r="AK47" s="673"/>
      <c r="AL47" s="673">
        <v>34</v>
      </c>
      <c r="AM47" s="811">
        <v>931</v>
      </c>
      <c r="AN47" s="811">
        <v>922</v>
      </c>
      <c r="AO47" s="665"/>
      <c r="AP47" s="665"/>
      <c r="AQ47" s="666"/>
      <c r="AR47" s="666"/>
      <c r="AS47" s="674">
        <v>931</v>
      </c>
      <c r="AT47" s="674">
        <v>922</v>
      </c>
      <c r="AU47" s="660"/>
      <c r="AV47" s="660"/>
      <c r="AW47" s="147"/>
      <c r="AX47" s="119"/>
    </row>
    <row r="48" spans="1:50" ht="31.5" x14ac:dyDescent="0.25">
      <c r="A48" s="448">
        <v>29</v>
      </c>
      <c r="B48" s="449" t="s">
        <v>1706</v>
      </c>
      <c r="C48" s="450" t="s">
        <v>64</v>
      </c>
      <c r="D48" s="450"/>
      <c r="E48" s="450" t="s">
        <v>55</v>
      </c>
      <c r="F48" s="669"/>
      <c r="G48" s="669"/>
      <c r="H48" s="669"/>
      <c r="I48" s="670"/>
      <c r="J48" s="670"/>
      <c r="K48" s="670"/>
      <c r="L48" s="670"/>
      <c r="M48" s="670"/>
      <c r="N48" s="670"/>
      <c r="O48" s="670"/>
      <c r="P48" s="670"/>
      <c r="Q48" s="670"/>
      <c r="R48" s="670"/>
      <c r="S48" s="670"/>
      <c r="T48" s="670"/>
      <c r="U48" s="670"/>
      <c r="V48" s="670"/>
      <c r="W48" s="670"/>
      <c r="X48" s="671">
        <v>606</v>
      </c>
      <c r="Y48" s="671">
        <v>579</v>
      </c>
      <c r="Z48" s="671"/>
      <c r="AA48" s="671"/>
      <c r="AB48" s="671"/>
      <c r="AC48" s="669"/>
      <c r="AD48" s="669"/>
      <c r="AE48" s="669"/>
      <c r="AF48" s="669"/>
      <c r="AG48" s="669"/>
      <c r="AH48" s="669"/>
      <c r="AI48" s="669"/>
      <c r="AJ48" s="672"/>
      <c r="AK48" s="673"/>
      <c r="AL48" s="673">
        <v>20</v>
      </c>
      <c r="AM48" s="681">
        <v>564</v>
      </c>
      <c r="AN48" s="681">
        <v>559</v>
      </c>
      <c r="AO48" s="665"/>
      <c r="AP48" s="665"/>
      <c r="AQ48" s="666"/>
      <c r="AR48" s="666"/>
      <c r="AS48" s="674">
        <v>564</v>
      </c>
      <c r="AT48" s="674">
        <v>559</v>
      </c>
      <c r="AU48" s="660"/>
      <c r="AV48" s="660"/>
      <c r="AW48" s="147"/>
      <c r="AX48" s="119"/>
    </row>
    <row r="49" spans="1:50" ht="31.5" x14ac:dyDescent="0.25">
      <c r="A49" s="448">
        <v>30</v>
      </c>
      <c r="B49" s="449" t="s">
        <v>1707</v>
      </c>
      <c r="C49" s="450" t="s">
        <v>64</v>
      </c>
      <c r="D49" s="450"/>
      <c r="E49" s="450" t="s">
        <v>55</v>
      </c>
      <c r="F49" s="669"/>
      <c r="G49" s="669"/>
      <c r="H49" s="669"/>
      <c r="I49" s="670"/>
      <c r="J49" s="670"/>
      <c r="K49" s="670"/>
      <c r="L49" s="670"/>
      <c r="M49" s="670"/>
      <c r="N49" s="670"/>
      <c r="O49" s="670"/>
      <c r="P49" s="670"/>
      <c r="Q49" s="670"/>
      <c r="R49" s="670"/>
      <c r="S49" s="670"/>
      <c r="T49" s="670"/>
      <c r="U49" s="670"/>
      <c r="V49" s="670"/>
      <c r="W49" s="670"/>
      <c r="X49" s="671">
        <v>1440</v>
      </c>
      <c r="Y49" s="671">
        <v>1373</v>
      </c>
      <c r="Z49" s="671"/>
      <c r="AA49" s="671"/>
      <c r="AB49" s="671"/>
      <c r="AC49" s="669"/>
      <c r="AD49" s="669"/>
      <c r="AE49" s="669"/>
      <c r="AF49" s="669"/>
      <c r="AG49" s="669"/>
      <c r="AH49" s="669"/>
      <c r="AI49" s="669"/>
      <c r="AJ49" s="672"/>
      <c r="AK49" s="673">
        <v>50</v>
      </c>
      <c r="AL49" s="673"/>
      <c r="AM49" s="453">
        <v>1440</v>
      </c>
      <c r="AN49" s="453">
        <v>1423</v>
      </c>
      <c r="AO49" s="665"/>
      <c r="AP49" s="665"/>
      <c r="AQ49" s="666"/>
      <c r="AR49" s="666"/>
      <c r="AS49" s="674">
        <v>1440</v>
      </c>
      <c r="AT49" s="674">
        <v>1423</v>
      </c>
      <c r="AU49" s="660"/>
      <c r="AV49" s="660"/>
      <c r="AW49" s="147"/>
      <c r="AX49" s="119"/>
    </row>
    <row r="50" spans="1:50" ht="31.5" x14ac:dyDescent="0.25">
      <c r="A50" s="448">
        <v>31</v>
      </c>
      <c r="B50" s="449" t="s">
        <v>1708</v>
      </c>
      <c r="C50" s="450" t="s">
        <v>64</v>
      </c>
      <c r="D50" s="450" t="s">
        <v>1709</v>
      </c>
      <c r="E50" s="450" t="s">
        <v>55</v>
      </c>
      <c r="F50" s="669"/>
      <c r="G50" s="669"/>
      <c r="H50" s="669"/>
      <c r="I50" s="670"/>
      <c r="J50" s="670"/>
      <c r="K50" s="670"/>
      <c r="L50" s="670"/>
      <c r="M50" s="670"/>
      <c r="N50" s="670"/>
      <c r="O50" s="670"/>
      <c r="P50" s="670"/>
      <c r="Q50" s="670"/>
      <c r="R50" s="670"/>
      <c r="S50" s="670"/>
      <c r="T50" s="670"/>
      <c r="U50" s="670"/>
      <c r="V50" s="670"/>
      <c r="W50" s="670"/>
      <c r="X50" s="671">
        <v>900</v>
      </c>
      <c r="Y50" s="671">
        <v>859</v>
      </c>
      <c r="Z50" s="671"/>
      <c r="AA50" s="671"/>
      <c r="AB50" s="671"/>
      <c r="AC50" s="669"/>
      <c r="AD50" s="669"/>
      <c r="AE50" s="669"/>
      <c r="AF50" s="669"/>
      <c r="AG50" s="669"/>
      <c r="AH50" s="669"/>
      <c r="AI50" s="669"/>
      <c r="AJ50" s="672"/>
      <c r="AK50" s="673"/>
      <c r="AL50" s="673">
        <v>29</v>
      </c>
      <c r="AM50" s="811">
        <v>838</v>
      </c>
      <c r="AN50" s="811">
        <v>830</v>
      </c>
      <c r="AO50" s="665"/>
      <c r="AP50" s="665"/>
      <c r="AQ50" s="666"/>
      <c r="AR50" s="666"/>
      <c r="AS50" s="674">
        <v>838</v>
      </c>
      <c r="AT50" s="674">
        <v>830</v>
      </c>
      <c r="AU50" s="660"/>
      <c r="AV50" s="660"/>
      <c r="AW50" s="147"/>
      <c r="AX50" s="119"/>
    </row>
    <row r="51" spans="1:50" ht="31.5" x14ac:dyDescent="0.25">
      <c r="A51" s="448">
        <v>32</v>
      </c>
      <c r="B51" s="449" t="s">
        <v>1710</v>
      </c>
      <c r="C51" s="450" t="s">
        <v>64</v>
      </c>
      <c r="D51" s="450" t="s">
        <v>880</v>
      </c>
      <c r="E51" s="450" t="s">
        <v>55</v>
      </c>
      <c r="F51" s="669"/>
      <c r="G51" s="669"/>
      <c r="H51" s="669"/>
      <c r="I51" s="670"/>
      <c r="J51" s="670"/>
      <c r="K51" s="670"/>
      <c r="L51" s="670"/>
      <c r="M51" s="670"/>
      <c r="N51" s="670"/>
      <c r="O51" s="670"/>
      <c r="P51" s="670"/>
      <c r="Q51" s="670"/>
      <c r="R51" s="670"/>
      <c r="S51" s="670"/>
      <c r="T51" s="670"/>
      <c r="U51" s="670"/>
      <c r="V51" s="670"/>
      <c r="W51" s="670"/>
      <c r="X51" s="671">
        <v>1110</v>
      </c>
      <c r="Y51" s="671">
        <v>1059</v>
      </c>
      <c r="Z51" s="671"/>
      <c r="AA51" s="671"/>
      <c r="AB51" s="671"/>
      <c r="AC51" s="669"/>
      <c r="AD51" s="669"/>
      <c r="AE51" s="669"/>
      <c r="AF51" s="669"/>
      <c r="AG51" s="669"/>
      <c r="AH51" s="669"/>
      <c r="AI51" s="669"/>
      <c r="AJ51" s="672"/>
      <c r="AK51" s="673"/>
      <c r="AL51" s="673">
        <v>36</v>
      </c>
      <c r="AM51" s="811">
        <v>1033</v>
      </c>
      <c r="AN51" s="811">
        <v>1023</v>
      </c>
      <c r="AO51" s="665"/>
      <c r="AP51" s="665"/>
      <c r="AQ51" s="666"/>
      <c r="AR51" s="666"/>
      <c r="AS51" s="674">
        <v>1033</v>
      </c>
      <c r="AT51" s="674">
        <v>1023</v>
      </c>
      <c r="AU51" s="660"/>
      <c r="AV51" s="660"/>
      <c r="AW51" s="147"/>
      <c r="AX51" s="119"/>
    </row>
    <row r="52" spans="1:50" ht="47.25" x14ac:dyDescent="0.25">
      <c r="A52" s="448">
        <v>33</v>
      </c>
      <c r="B52" s="449" t="s">
        <v>1711</v>
      </c>
      <c r="C52" s="450" t="s">
        <v>71</v>
      </c>
      <c r="D52" s="450"/>
      <c r="E52" s="450" t="s">
        <v>55</v>
      </c>
      <c r="F52" s="669"/>
      <c r="G52" s="669"/>
      <c r="H52" s="669"/>
      <c r="I52" s="670"/>
      <c r="J52" s="670"/>
      <c r="K52" s="670"/>
      <c r="L52" s="670"/>
      <c r="M52" s="670"/>
      <c r="N52" s="670"/>
      <c r="O52" s="670"/>
      <c r="P52" s="670"/>
      <c r="Q52" s="670"/>
      <c r="R52" s="670"/>
      <c r="S52" s="670"/>
      <c r="T52" s="670"/>
      <c r="U52" s="670"/>
      <c r="V52" s="670"/>
      <c r="W52" s="670"/>
      <c r="X52" s="671">
        <v>1500</v>
      </c>
      <c r="Y52" s="671">
        <v>1485</v>
      </c>
      <c r="Z52" s="671"/>
      <c r="AA52" s="671"/>
      <c r="AB52" s="671"/>
      <c r="AC52" s="669"/>
      <c r="AD52" s="669"/>
      <c r="AE52" s="669"/>
      <c r="AF52" s="669"/>
      <c r="AG52" s="669"/>
      <c r="AH52" s="669"/>
      <c r="AI52" s="669"/>
      <c r="AJ52" s="672"/>
      <c r="AK52" s="673"/>
      <c r="AL52" s="673">
        <v>0</v>
      </c>
      <c r="AM52" s="453">
        <v>1500</v>
      </c>
      <c r="AN52" s="453">
        <v>1485</v>
      </c>
      <c r="AO52" s="665"/>
      <c r="AP52" s="665"/>
      <c r="AQ52" s="666"/>
      <c r="AR52" s="666"/>
      <c r="AS52" s="674">
        <v>1500</v>
      </c>
      <c r="AT52" s="674">
        <v>1485</v>
      </c>
      <c r="AU52" s="660"/>
      <c r="AV52" s="660"/>
      <c r="AW52" s="147"/>
      <c r="AX52" s="119"/>
    </row>
    <row r="53" spans="1:50" ht="31.5" x14ac:dyDescent="0.25">
      <c r="A53" s="448">
        <v>34</v>
      </c>
      <c r="B53" s="449" t="s">
        <v>1712</v>
      </c>
      <c r="C53" s="450" t="s">
        <v>71</v>
      </c>
      <c r="D53" s="450"/>
      <c r="E53" s="450" t="s">
        <v>55</v>
      </c>
      <c r="F53" s="669"/>
      <c r="G53" s="669"/>
      <c r="H53" s="669"/>
      <c r="I53" s="670"/>
      <c r="J53" s="670"/>
      <c r="K53" s="670"/>
      <c r="L53" s="670"/>
      <c r="M53" s="670"/>
      <c r="N53" s="670"/>
      <c r="O53" s="670"/>
      <c r="P53" s="670"/>
      <c r="Q53" s="670"/>
      <c r="R53" s="670"/>
      <c r="S53" s="670"/>
      <c r="T53" s="670"/>
      <c r="U53" s="670"/>
      <c r="V53" s="670"/>
      <c r="W53" s="670"/>
      <c r="X53" s="671">
        <v>1840</v>
      </c>
      <c r="Y53" s="671">
        <v>1759</v>
      </c>
      <c r="Z53" s="671"/>
      <c r="AA53" s="671"/>
      <c r="AB53" s="671"/>
      <c r="AC53" s="669"/>
      <c r="AD53" s="669"/>
      <c r="AE53" s="669"/>
      <c r="AF53" s="669"/>
      <c r="AG53" s="669"/>
      <c r="AH53" s="669"/>
      <c r="AI53" s="669"/>
      <c r="AJ53" s="672"/>
      <c r="AK53" s="673">
        <v>63</v>
      </c>
      <c r="AL53" s="673"/>
      <c r="AM53" s="453">
        <v>1840</v>
      </c>
      <c r="AN53" s="453">
        <v>1823</v>
      </c>
      <c r="AO53" s="665"/>
      <c r="AP53" s="665"/>
      <c r="AQ53" s="666"/>
      <c r="AR53" s="666"/>
      <c r="AS53" s="674">
        <v>1840</v>
      </c>
      <c r="AT53" s="674">
        <v>1823</v>
      </c>
      <c r="AU53" s="660"/>
      <c r="AV53" s="660"/>
      <c r="AW53" s="147"/>
      <c r="AX53" s="119"/>
    </row>
    <row r="54" spans="1:50" ht="31.5" x14ac:dyDescent="0.25">
      <c r="A54" s="448">
        <v>35</v>
      </c>
      <c r="B54" s="449" t="s">
        <v>1713</v>
      </c>
      <c r="C54" s="450" t="s">
        <v>71</v>
      </c>
      <c r="D54" s="450"/>
      <c r="E54" s="450" t="s">
        <v>55</v>
      </c>
      <c r="F54" s="669"/>
      <c r="G54" s="669"/>
      <c r="H54" s="669"/>
      <c r="I54" s="670"/>
      <c r="J54" s="670"/>
      <c r="K54" s="670"/>
      <c r="L54" s="670"/>
      <c r="M54" s="670"/>
      <c r="N54" s="670"/>
      <c r="O54" s="670"/>
      <c r="P54" s="670"/>
      <c r="Q54" s="670"/>
      <c r="R54" s="670"/>
      <c r="S54" s="670"/>
      <c r="T54" s="670"/>
      <c r="U54" s="670"/>
      <c r="V54" s="670"/>
      <c r="W54" s="670"/>
      <c r="X54" s="671">
        <v>1710</v>
      </c>
      <c r="Y54" s="671">
        <v>1634</v>
      </c>
      <c r="Z54" s="671"/>
      <c r="AA54" s="671"/>
      <c r="AB54" s="671"/>
      <c r="AC54" s="669"/>
      <c r="AD54" s="669"/>
      <c r="AE54" s="669"/>
      <c r="AF54" s="669"/>
      <c r="AG54" s="669"/>
      <c r="AH54" s="669"/>
      <c r="AI54" s="669"/>
      <c r="AJ54" s="672"/>
      <c r="AK54" s="673"/>
      <c r="AL54" s="673">
        <v>55</v>
      </c>
      <c r="AM54" s="811">
        <v>1594</v>
      </c>
      <c r="AN54" s="811">
        <v>1579</v>
      </c>
      <c r="AO54" s="665"/>
      <c r="AP54" s="665"/>
      <c r="AQ54" s="666"/>
      <c r="AR54" s="666"/>
      <c r="AS54" s="674">
        <v>1594</v>
      </c>
      <c r="AT54" s="674">
        <v>1579</v>
      </c>
      <c r="AU54" s="660"/>
      <c r="AV54" s="660"/>
      <c r="AW54" s="147"/>
      <c r="AX54" s="119"/>
    </row>
    <row r="55" spans="1:50" ht="47.25" customHeight="1" x14ac:dyDescent="0.25">
      <c r="A55" s="448">
        <v>36</v>
      </c>
      <c r="B55" s="449" t="s">
        <v>1714</v>
      </c>
      <c r="C55" s="450" t="s">
        <v>73</v>
      </c>
      <c r="D55" s="450"/>
      <c r="E55" s="450" t="s">
        <v>55</v>
      </c>
      <c r="F55" s="669"/>
      <c r="G55" s="669"/>
      <c r="H55" s="669"/>
      <c r="I55" s="670"/>
      <c r="J55" s="670"/>
      <c r="K55" s="670"/>
      <c r="L55" s="670"/>
      <c r="M55" s="670"/>
      <c r="N55" s="670"/>
      <c r="O55" s="670"/>
      <c r="P55" s="670"/>
      <c r="Q55" s="670"/>
      <c r="R55" s="670"/>
      <c r="S55" s="670"/>
      <c r="T55" s="670"/>
      <c r="U55" s="670"/>
      <c r="V55" s="670"/>
      <c r="W55" s="670"/>
      <c r="X55" s="671">
        <v>3000</v>
      </c>
      <c r="Y55" s="671">
        <v>2970</v>
      </c>
      <c r="Z55" s="671"/>
      <c r="AA55" s="671"/>
      <c r="AB55" s="671"/>
      <c r="AC55" s="669"/>
      <c r="AD55" s="669"/>
      <c r="AE55" s="669"/>
      <c r="AF55" s="669"/>
      <c r="AG55" s="669"/>
      <c r="AH55" s="669"/>
      <c r="AI55" s="669"/>
      <c r="AJ55" s="672"/>
      <c r="AK55" s="673"/>
      <c r="AL55" s="673">
        <v>0</v>
      </c>
      <c r="AM55" s="453">
        <v>3000</v>
      </c>
      <c r="AN55" s="453">
        <v>2970</v>
      </c>
      <c r="AO55" s="665"/>
      <c r="AP55" s="665"/>
      <c r="AQ55" s="666"/>
      <c r="AR55" s="666"/>
      <c r="AS55" s="674">
        <v>3000</v>
      </c>
      <c r="AT55" s="674">
        <v>2970</v>
      </c>
      <c r="AU55" s="660"/>
      <c r="AV55" s="660"/>
      <c r="AW55" s="147"/>
      <c r="AX55" s="119"/>
    </row>
    <row r="56" spans="1:50" ht="31.5" x14ac:dyDescent="0.25">
      <c r="A56" s="448">
        <v>37</v>
      </c>
      <c r="B56" s="449" t="s">
        <v>1715</v>
      </c>
      <c r="C56" s="450" t="s">
        <v>73</v>
      </c>
      <c r="D56" s="450"/>
      <c r="E56" s="450" t="s">
        <v>55</v>
      </c>
      <c r="F56" s="669"/>
      <c r="G56" s="669"/>
      <c r="H56" s="669"/>
      <c r="I56" s="670"/>
      <c r="J56" s="670"/>
      <c r="K56" s="670"/>
      <c r="L56" s="670"/>
      <c r="M56" s="670"/>
      <c r="N56" s="670"/>
      <c r="O56" s="670"/>
      <c r="P56" s="670"/>
      <c r="Q56" s="670"/>
      <c r="R56" s="670"/>
      <c r="S56" s="670"/>
      <c r="T56" s="670"/>
      <c r="U56" s="670"/>
      <c r="V56" s="670"/>
      <c r="W56" s="670"/>
      <c r="X56" s="671">
        <v>606</v>
      </c>
      <c r="Y56" s="671">
        <v>579</v>
      </c>
      <c r="Z56" s="671"/>
      <c r="AA56" s="671"/>
      <c r="AB56" s="671"/>
      <c r="AC56" s="669"/>
      <c r="AD56" s="669"/>
      <c r="AE56" s="669"/>
      <c r="AF56" s="669"/>
      <c r="AG56" s="669"/>
      <c r="AH56" s="669"/>
      <c r="AI56" s="669"/>
      <c r="AJ56" s="672"/>
      <c r="AK56" s="673">
        <v>21</v>
      </c>
      <c r="AL56" s="673"/>
      <c r="AM56" s="453">
        <v>606</v>
      </c>
      <c r="AN56" s="453">
        <v>600</v>
      </c>
      <c r="AO56" s="665"/>
      <c r="AP56" s="665"/>
      <c r="AQ56" s="666"/>
      <c r="AR56" s="666"/>
      <c r="AS56" s="674">
        <v>606</v>
      </c>
      <c r="AT56" s="674">
        <v>600</v>
      </c>
      <c r="AU56" s="660"/>
      <c r="AV56" s="660"/>
      <c r="AW56" s="147"/>
      <c r="AX56" s="119"/>
    </row>
    <row r="57" spans="1:50" ht="47.25" x14ac:dyDescent="0.25">
      <c r="A57" s="448">
        <v>38</v>
      </c>
      <c r="B57" s="449" t="s">
        <v>1716</v>
      </c>
      <c r="C57" s="450" t="s">
        <v>73</v>
      </c>
      <c r="D57" s="450"/>
      <c r="E57" s="450" t="s">
        <v>55</v>
      </c>
      <c r="F57" s="669"/>
      <c r="G57" s="669"/>
      <c r="H57" s="669"/>
      <c r="I57" s="670"/>
      <c r="J57" s="670"/>
      <c r="K57" s="670"/>
      <c r="L57" s="670"/>
      <c r="M57" s="670"/>
      <c r="N57" s="670"/>
      <c r="O57" s="670"/>
      <c r="P57" s="670"/>
      <c r="Q57" s="670"/>
      <c r="R57" s="670"/>
      <c r="S57" s="670"/>
      <c r="T57" s="670"/>
      <c r="U57" s="670"/>
      <c r="V57" s="670"/>
      <c r="W57" s="670"/>
      <c r="X57" s="671">
        <v>844</v>
      </c>
      <c r="Y57" s="671">
        <v>808</v>
      </c>
      <c r="Z57" s="671"/>
      <c r="AA57" s="671"/>
      <c r="AB57" s="671"/>
      <c r="AC57" s="669"/>
      <c r="AD57" s="669"/>
      <c r="AE57" s="669"/>
      <c r="AF57" s="669"/>
      <c r="AG57" s="669"/>
      <c r="AH57" s="669"/>
      <c r="AI57" s="669"/>
      <c r="AJ57" s="672"/>
      <c r="AK57" s="673"/>
      <c r="AL57" s="673">
        <v>27</v>
      </c>
      <c r="AM57" s="811">
        <v>788</v>
      </c>
      <c r="AN57" s="811">
        <v>780</v>
      </c>
      <c r="AO57" s="665"/>
      <c r="AP57" s="665"/>
      <c r="AQ57" s="666"/>
      <c r="AR57" s="666"/>
      <c r="AS57" s="674">
        <v>788</v>
      </c>
      <c r="AT57" s="674">
        <v>780</v>
      </c>
      <c r="AU57" s="660"/>
      <c r="AV57" s="660"/>
      <c r="AW57" s="147"/>
      <c r="AX57" s="119"/>
    </row>
    <row r="58" spans="1:50" s="14" customFormat="1" ht="39" customHeight="1" x14ac:dyDescent="0.25">
      <c r="A58" s="448">
        <v>39</v>
      </c>
      <c r="B58" s="449" t="s">
        <v>1717</v>
      </c>
      <c r="C58" s="450" t="s">
        <v>73</v>
      </c>
      <c r="D58" s="450"/>
      <c r="E58" s="450" t="s">
        <v>55</v>
      </c>
      <c r="F58" s="669"/>
      <c r="G58" s="669"/>
      <c r="H58" s="669"/>
      <c r="I58" s="670"/>
      <c r="J58" s="670"/>
      <c r="K58" s="670"/>
      <c r="L58" s="670"/>
      <c r="M58" s="670"/>
      <c r="N58" s="670"/>
      <c r="O58" s="670"/>
      <c r="P58" s="670"/>
      <c r="Q58" s="670"/>
      <c r="R58" s="670"/>
      <c r="S58" s="670"/>
      <c r="T58" s="670"/>
      <c r="U58" s="670"/>
      <c r="V58" s="670"/>
      <c r="W58" s="670"/>
      <c r="X58" s="671">
        <v>600</v>
      </c>
      <c r="Y58" s="671">
        <v>573</v>
      </c>
      <c r="Z58" s="671"/>
      <c r="AA58" s="671"/>
      <c r="AB58" s="671"/>
      <c r="AC58" s="669"/>
      <c r="AD58" s="669"/>
      <c r="AE58" s="669"/>
      <c r="AF58" s="669"/>
      <c r="AG58" s="669"/>
      <c r="AH58" s="669"/>
      <c r="AI58" s="669"/>
      <c r="AJ58" s="672"/>
      <c r="AK58" s="673"/>
      <c r="AL58" s="673">
        <v>19</v>
      </c>
      <c r="AM58" s="811">
        <v>559</v>
      </c>
      <c r="AN58" s="811">
        <v>554</v>
      </c>
      <c r="AO58" s="665"/>
      <c r="AP58" s="665"/>
      <c r="AQ58" s="666"/>
      <c r="AR58" s="666"/>
      <c r="AS58" s="674">
        <v>559</v>
      </c>
      <c r="AT58" s="674">
        <v>554</v>
      </c>
      <c r="AU58" s="660"/>
      <c r="AV58" s="660"/>
      <c r="AW58" s="225"/>
    </row>
    <row r="59" spans="1:50" s="683" customFormat="1" ht="48" customHeight="1" x14ac:dyDescent="0.25">
      <c r="A59" s="646" t="s">
        <v>533</v>
      </c>
      <c r="B59" s="647" t="s">
        <v>1718</v>
      </c>
      <c r="C59" s="464"/>
      <c r="D59" s="464"/>
      <c r="E59" s="613"/>
      <c r="F59" s="464"/>
      <c r="G59" s="658">
        <v>46698</v>
      </c>
      <c r="H59" s="658">
        <v>45855.478000000003</v>
      </c>
      <c r="I59" s="659"/>
      <c r="J59" s="659"/>
      <c r="K59" s="659"/>
      <c r="L59" s="659"/>
      <c r="M59" s="659"/>
      <c r="N59" s="659"/>
      <c r="O59" s="659"/>
      <c r="P59" s="659"/>
      <c r="Q59" s="659"/>
      <c r="R59" s="659"/>
      <c r="S59" s="659"/>
      <c r="T59" s="659"/>
      <c r="U59" s="659"/>
      <c r="V59" s="659"/>
      <c r="W59" s="659"/>
      <c r="X59" s="658">
        <v>83760.762999999992</v>
      </c>
      <c r="Y59" s="658">
        <v>83052.762999999992</v>
      </c>
      <c r="Z59" s="658">
        <v>0</v>
      </c>
      <c r="AA59" s="658">
        <v>0</v>
      </c>
      <c r="AB59" s="658">
        <v>0</v>
      </c>
      <c r="AC59" s="658">
        <v>0</v>
      </c>
      <c r="AD59" s="658">
        <v>0</v>
      </c>
      <c r="AE59" s="658">
        <v>0</v>
      </c>
      <c r="AF59" s="658">
        <v>0</v>
      </c>
      <c r="AG59" s="658">
        <v>0</v>
      </c>
      <c r="AH59" s="658">
        <v>0</v>
      </c>
      <c r="AI59" s="658">
        <v>0</v>
      </c>
      <c r="AJ59" s="658">
        <v>0</v>
      </c>
      <c r="AK59" s="658">
        <v>11057.8</v>
      </c>
      <c r="AL59" s="658">
        <v>13628.7</v>
      </c>
      <c r="AM59" s="465">
        <f>+AM60+AM61</f>
        <v>112159</v>
      </c>
      <c r="AN59" s="465">
        <f>+AN60+AN61</f>
        <v>80482</v>
      </c>
      <c r="AO59" s="465">
        <f t="shared" ref="AO59:AT59" si="7">+AO60+AO61</f>
        <v>0</v>
      </c>
      <c r="AP59" s="465">
        <f t="shared" si="7"/>
        <v>0</v>
      </c>
      <c r="AQ59" s="465">
        <f t="shared" si="7"/>
        <v>3274</v>
      </c>
      <c r="AR59" s="465">
        <f t="shared" si="7"/>
        <v>3274</v>
      </c>
      <c r="AS59" s="465">
        <f t="shared" si="7"/>
        <v>117218</v>
      </c>
      <c r="AT59" s="465">
        <f t="shared" si="7"/>
        <v>80482</v>
      </c>
      <c r="AU59" s="465">
        <f>+AU60+AU61</f>
        <v>0</v>
      </c>
      <c r="AV59" s="465">
        <f t="shared" ref="AV59" si="8">+AV60+AV61</f>
        <v>0</v>
      </c>
      <c r="AW59" s="682"/>
    </row>
    <row r="60" spans="1:50" s="14" customFormat="1" ht="47.25" x14ac:dyDescent="0.25">
      <c r="A60" s="684" t="s">
        <v>100</v>
      </c>
      <c r="B60" s="523" t="s">
        <v>1670</v>
      </c>
      <c r="C60" s="464"/>
      <c r="D60" s="464"/>
      <c r="E60" s="464"/>
      <c r="F60" s="464"/>
      <c r="G60" s="658">
        <v>43698</v>
      </c>
      <c r="H60" s="658">
        <v>42855.478000000003</v>
      </c>
      <c r="I60" s="659"/>
      <c r="J60" s="659"/>
      <c r="K60" s="659"/>
      <c r="L60" s="659"/>
      <c r="M60" s="659"/>
      <c r="N60" s="659"/>
      <c r="O60" s="659"/>
      <c r="P60" s="659"/>
      <c r="Q60" s="659"/>
      <c r="R60" s="659"/>
      <c r="S60" s="659"/>
      <c r="T60" s="659"/>
      <c r="U60" s="659"/>
      <c r="V60" s="659"/>
      <c r="W60" s="659"/>
      <c r="X60" s="662">
        <v>19545.762999999995</v>
      </c>
      <c r="Y60" s="662">
        <v>19545.762999999995</v>
      </c>
      <c r="Z60" s="664"/>
      <c r="AA60" s="664"/>
      <c r="AB60" s="662"/>
      <c r="AC60" s="658"/>
      <c r="AD60" s="658"/>
      <c r="AE60" s="658"/>
      <c r="AF60" s="658"/>
      <c r="AG60" s="658"/>
      <c r="AH60" s="658"/>
      <c r="AI60" s="658"/>
      <c r="AJ60" s="663"/>
      <c r="AK60" s="664"/>
      <c r="AL60" s="664"/>
      <c r="AM60" s="474">
        <v>19546</v>
      </c>
      <c r="AN60" s="474">
        <v>19546</v>
      </c>
      <c r="AO60" s="685"/>
      <c r="AP60" s="685"/>
      <c r="AQ60" s="686"/>
      <c r="AR60" s="686"/>
      <c r="AS60" s="474">
        <v>19546</v>
      </c>
      <c r="AT60" s="474">
        <v>19546</v>
      </c>
      <c r="AU60" s="668"/>
      <c r="AV60" s="668"/>
      <c r="AW60" s="225"/>
    </row>
    <row r="61" spans="1:50" s="14" customFormat="1" ht="31.5" x14ac:dyDescent="0.25">
      <c r="A61" s="684" t="s">
        <v>102</v>
      </c>
      <c r="B61" s="523" t="s">
        <v>735</v>
      </c>
      <c r="C61" s="464"/>
      <c r="D61" s="464"/>
      <c r="E61" s="464"/>
      <c r="F61" s="464"/>
      <c r="G61" s="658">
        <v>3000</v>
      </c>
      <c r="H61" s="658">
        <v>3000</v>
      </c>
      <c r="I61" s="659"/>
      <c r="J61" s="659"/>
      <c r="K61" s="659"/>
      <c r="L61" s="659"/>
      <c r="M61" s="659"/>
      <c r="N61" s="659"/>
      <c r="O61" s="659"/>
      <c r="P61" s="659"/>
      <c r="Q61" s="659"/>
      <c r="R61" s="659"/>
      <c r="S61" s="659"/>
      <c r="T61" s="659"/>
      <c r="U61" s="659"/>
      <c r="V61" s="659"/>
      <c r="W61" s="659"/>
      <c r="X61" s="658">
        <v>64215</v>
      </c>
      <c r="Y61" s="658">
        <v>63507</v>
      </c>
      <c r="Z61" s="658">
        <v>0</v>
      </c>
      <c r="AA61" s="658">
        <v>0</v>
      </c>
      <c r="AB61" s="658">
        <v>0</v>
      </c>
      <c r="AC61" s="658">
        <v>0</v>
      </c>
      <c r="AD61" s="658">
        <v>0</v>
      </c>
      <c r="AE61" s="658">
        <v>0</v>
      </c>
      <c r="AF61" s="658">
        <v>0</v>
      </c>
      <c r="AG61" s="658">
        <v>0</v>
      </c>
      <c r="AH61" s="658">
        <v>0</v>
      </c>
      <c r="AI61" s="658">
        <v>0</v>
      </c>
      <c r="AJ61" s="658">
        <v>0</v>
      </c>
      <c r="AK61" s="658">
        <v>11057.8</v>
      </c>
      <c r="AL61" s="658">
        <v>13628.7</v>
      </c>
      <c r="AM61" s="687">
        <f t="shared" ref="AM61:AV61" si="9">SUM(AM62:AM86)</f>
        <v>92613</v>
      </c>
      <c r="AN61" s="687">
        <f t="shared" si="9"/>
        <v>60936</v>
      </c>
      <c r="AO61" s="687">
        <f t="shared" si="9"/>
        <v>0</v>
      </c>
      <c r="AP61" s="687">
        <f t="shared" si="9"/>
        <v>0</v>
      </c>
      <c r="AQ61" s="687">
        <f t="shared" si="9"/>
        <v>3274</v>
      </c>
      <c r="AR61" s="687">
        <f t="shared" si="9"/>
        <v>3274</v>
      </c>
      <c r="AS61" s="687">
        <f t="shared" si="9"/>
        <v>97672</v>
      </c>
      <c r="AT61" s="687">
        <f t="shared" si="9"/>
        <v>60936</v>
      </c>
      <c r="AU61" s="687">
        <f t="shared" si="9"/>
        <v>0</v>
      </c>
      <c r="AV61" s="687">
        <f t="shared" si="9"/>
        <v>0</v>
      </c>
      <c r="AW61" s="225"/>
    </row>
    <row r="62" spans="1:50" s="14" customFormat="1" ht="31.5" customHeight="1" x14ac:dyDescent="0.25">
      <c r="A62" s="448">
        <v>1</v>
      </c>
      <c r="B62" s="449" t="s">
        <v>1719</v>
      </c>
      <c r="C62" s="450" t="s">
        <v>953</v>
      </c>
      <c r="D62" s="450"/>
      <c r="E62" s="450" t="s">
        <v>348</v>
      </c>
      <c r="F62" s="464"/>
      <c r="G62" s="669">
        <v>3000</v>
      </c>
      <c r="H62" s="669">
        <v>3000</v>
      </c>
      <c r="I62" s="659"/>
      <c r="J62" s="659"/>
      <c r="K62" s="659"/>
      <c r="L62" s="659"/>
      <c r="M62" s="659"/>
      <c r="N62" s="659"/>
      <c r="O62" s="659"/>
      <c r="P62" s="659"/>
      <c r="Q62" s="659"/>
      <c r="R62" s="659"/>
      <c r="S62" s="659"/>
      <c r="T62" s="659"/>
      <c r="U62" s="659"/>
      <c r="V62" s="659"/>
      <c r="W62" s="659"/>
      <c r="X62" s="671">
        <v>3000</v>
      </c>
      <c r="Y62" s="671">
        <v>3000</v>
      </c>
      <c r="Z62" s="664"/>
      <c r="AA62" s="664"/>
      <c r="AB62" s="662"/>
      <c r="AC62" s="658"/>
      <c r="AD62" s="658"/>
      <c r="AE62" s="658"/>
      <c r="AF62" s="658"/>
      <c r="AG62" s="658"/>
      <c r="AH62" s="658"/>
      <c r="AI62" s="658"/>
      <c r="AJ62" s="663"/>
      <c r="AK62" s="673"/>
      <c r="AL62" s="673">
        <v>0</v>
      </c>
      <c r="AM62" s="454">
        <v>3000</v>
      </c>
      <c r="AN62" s="454">
        <v>3000</v>
      </c>
      <c r="AO62" s="685"/>
      <c r="AP62" s="685"/>
      <c r="AQ62" s="666"/>
      <c r="AR62" s="666">
        <v>75</v>
      </c>
      <c r="AS62" s="666">
        <v>2925</v>
      </c>
      <c r="AT62" s="666">
        <v>2925</v>
      </c>
      <c r="AU62" s="668"/>
      <c r="AV62" s="668"/>
      <c r="AW62" s="225"/>
    </row>
    <row r="63" spans="1:50" s="14" customFormat="1" ht="47.25" x14ac:dyDescent="0.25">
      <c r="A63" s="448">
        <v>2</v>
      </c>
      <c r="B63" s="449" t="s">
        <v>1720</v>
      </c>
      <c r="C63" s="450" t="s">
        <v>929</v>
      </c>
      <c r="D63" s="450"/>
      <c r="E63" s="450" t="s">
        <v>46</v>
      </c>
      <c r="F63" s="464"/>
      <c r="G63" s="664"/>
      <c r="H63" s="664"/>
      <c r="I63" s="659"/>
      <c r="J63" s="659"/>
      <c r="K63" s="659"/>
      <c r="L63" s="659"/>
      <c r="M63" s="659"/>
      <c r="N63" s="659"/>
      <c r="O63" s="659"/>
      <c r="P63" s="659"/>
      <c r="Q63" s="659"/>
      <c r="R63" s="659"/>
      <c r="S63" s="659"/>
      <c r="T63" s="659"/>
      <c r="U63" s="659"/>
      <c r="V63" s="659"/>
      <c r="W63" s="659"/>
      <c r="X63" s="671">
        <v>3500</v>
      </c>
      <c r="Y63" s="671">
        <v>3485</v>
      </c>
      <c r="Z63" s="664"/>
      <c r="AA63" s="664"/>
      <c r="AB63" s="662"/>
      <c r="AC63" s="658"/>
      <c r="AD63" s="658"/>
      <c r="AE63" s="658"/>
      <c r="AF63" s="658"/>
      <c r="AG63" s="658"/>
      <c r="AH63" s="658"/>
      <c r="AI63" s="658"/>
      <c r="AJ63" s="663"/>
      <c r="AK63" s="673"/>
      <c r="AL63" s="673">
        <v>-0.3000000000001819</v>
      </c>
      <c r="AM63" s="454">
        <v>3500</v>
      </c>
      <c r="AN63" s="454">
        <v>3485</v>
      </c>
      <c r="AO63" s="685"/>
      <c r="AP63" s="685"/>
      <c r="AQ63" s="666"/>
      <c r="AR63" s="666">
        <v>17</v>
      </c>
      <c r="AS63" s="666">
        <v>3483</v>
      </c>
      <c r="AT63" s="666">
        <f>AN63-AR63</f>
        <v>3468</v>
      </c>
      <c r="AU63" s="668"/>
      <c r="AV63" s="668"/>
      <c r="AW63" s="225"/>
    </row>
    <row r="64" spans="1:50" s="14" customFormat="1" ht="47.25" x14ac:dyDescent="0.25">
      <c r="A64" s="448">
        <v>3</v>
      </c>
      <c r="B64" s="449" t="s">
        <v>1721</v>
      </c>
      <c r="C64" s="450" t="s">
        <v>1722</v>
      </c>
      <c r="D64" s="450"/>
      <c r="E64" s="450" t="s">
        <v>46</v>
      </c>
      <c r="F64" s="464"/>
      <c r="G64" s="664"/>
      <c r="H64" s="664"/>
      <c r="I64" s="659"/>
      <c r="J64" s="659"/>
      <c r="K64" s="659"/>
      <c r="L64" s="659"/>
      <c r="M64" s="659"/>
      <c r="N64" s="659"/>
      <c r="O64" s="659"/>
      <c r="P64" s="659"/>
      <c r="Q64" s="659"/>
      <c r="R64" s="659"/>
      <c r="S64" s="659"/>
      <c r="T64" s="659"/>
      <c r="U64" s="659"/>
      <c r="V64" s="659"/>
      <c r="W64" s="659"/>
      <c r="X64" s="671">
        <v>4000</v>
      </c>
      <c r="Y64" s="671">
        <v>3985</v>
      </c>
      <c r="Z64" s="664"/>
      <c r="AA64" s="664"/>
      <c r="AB64" s="662"/>
      <c r="AC64" s="658"/>
      <c r="AD64" s="658"/>
      <c r="AE64" s="658"/>
      <c r="AF64" s="658"/>
      <c r="AG64" s="658"/>
      <c r="AH64" s="658"/>
      <c r="AI64" s="658"/>
      <c r="AJ64" s="663"/>
      <c r="AK64" s="673"/>
      <c r="AL64" s="673">
        <v>-0.3000000000001819</v>
      </c>
      <c r="AM64" s="454">
        <v>4000</v>
      </c>
      <c r="AN64" s="454">
        <v>3985</v>
      </c>
      <c r="AO64" s="685"/>
      <c r="AP64" s="685"/>
      <c r="AQ64" s="666"/>
      <c r="AR64" s="666">
        <v>160</v>
      </c>
      <c r="AS64" s="666">
        <v>3840</v>
      </c>
      <c r="AT64" s="666">
        <f>AN64-AR64</f>
        <v>3825</v>
      </c>
      <c r="AU64" s="668"/>
      <c r="AV64" s="668"/>
      <c r="AW64" s="225"/>
    </row>
    <row r="65" spans="1:49" s="14" customFormat="1" ht="31.5" x14ac:dyDescent="0.25">
      <c r="A65" s="448">
        <v>4</v>
      </c>
      <c r="B65" s="449" t="s">
        <v>1723</v>
      </c>
      <c r="C65" s="450" t="s">
        <v>957</v>
      </c>
      <c r="D65" s="450"/>
      <c r="E65" s="450" t="s">
        <v>46</v>
      </c>
      <c r="F65" s="464"/>
      <c r="G65" s="664"/>
      <c r="H65" s="664"/>
      <c r="I65" s="659"/>
      <c r="J65" s="659"/>
      <c r="K65" s="659"/>
      <c r="L65" s="659"/>
      <c r="M65" s="659"/>
      <c r="N65" s="659"/>
      <c r="O65" s="659"/>
      <c r="P65" s="659"/>
      <c r="Q65" s="659"/>
      <c r="R65" s="659"/>
      <c r="S65" s="659"/>
      <c r="T65" s="659"/>
      <c r="U65" s="659"/>
      <c r="V65" s="659"/>
      <c r="W65" s="659"/>
      <c r="X65" s="671">
        <v>4950</v>
      </c>
      <c r="Y65" s="671">
        <v>4480</v>
      </c>
      <c r="Z65" s="664"/>
      <c r="AA65" s="664"/>
      <c r="AB65" s="662"/>
      <c r="AC65" s="658"/>
      <c r="AD65" s="658"/>
      <c r="AE65" s="658"/>
      <c r="AF65" s="658"/>
      <c r="AG65" s="658"/>
      <c r="AH65" s="658"/>
      <c r="AI65" s="658"/>
      <c r="AJ65" s="663"/>
      <c r="AK65" s="673"/>
      <c r="AL65" s="673">
        <v>0.3000000000001819</v>
      </c>
      <c r="AM65" s="454">
        <v>4950</v>
      </c>
      <c r="AN65" s="454">
        <v>4480</v>
      </c>
      <c r="AO65" s="685"/>
      <c r="AP65" s="685"/>
      <c r="AQ65" s="666">
        <v>132</v>
      </c>
      <c r="AR65" s="666"/>
      <c r="AS65" s="666">
        <v>5082</v>
      </c>
      <c r="AT65" s="666">
        <f>AN65+AQ65</f>
        <v>4612</v>
      </c>
      <c r="AU65" s="668"/>
      <c r="AV65" s="668"/>
      <c r="AW65" s="225"/>
    </row>
    <row r="66" spans="1:49" s="14" customFormat="1" ht="47.25" x14ac:dyDescent="0.25">
      <c r="A66" s="448">
        <v>5</v>
      </c>
      <c r="B66" s="449" t="s">
        <v>1724</v>
      </c>
      <c r="C66" s="450" t="s">
        <v>54</v>
      </c>
      <c r="D66" s="450"/>
      <c r="E66" s="450" t="s">
        <v>46</v>
      </c>
      <c r="F66" s="464"/>
      <c r="G66" s="664"/>
      <c r="H66" s="664"/>
      <c r="I66" s="659"/>
      <c r="J66" s="659"/>
      <c r="K66" s="659"/>
      <c r="L66" s="659"/>
      <c r="M66" s="659"/>
      <c r="N66" s="659"/>
      <c r="O66" s="659"/>
      <c r="P66" s="659"/>
      <c r="Q66" s="659"/>
      <c r="R66" s="659"/>
      <c r="S66" s="659"/>
      <c r="T66" s="659"/>
      <c r="U66" s="659"/>
      <c r="V66" s="659"/>
      <c r="W66" s="659"/>
      <c r="X66" s="671">
        <v>4673</v>
      </c>
      <c r="Y66" s="671">
        <v>4480</v>
      </c>
      <c r="Z66" s="664"/>
      <c r="AA66" s="664"/>
      <c r="AB66" s="662"/>
      <c r="AC66" s="658"/>
      <c r="AD66" s="658"/>
      <c r="AE66" s="658"/>
      <c r="AF66" s="658"/>
      <c r="AG66" s="658"/>
      <c r="AH66" s="658"/>
      <c r="AI66" s="658"/>
      <c r="AJ66" s="663"/>
      <c r="AK66" s="673"/>
      <c r="AL66" s="673">
        <v>0</v>
      </c>
      <c r="AM66" s="454">
        <v>4673</v>
      </c>
      <c r="AN66" s="454">
        <v>4480</v>
      </c>
      <c r="AO66" s="685"/>
      <c r="AP66" s="685"/>
      <c r="AQ66" s="666">
        <v>56</v>
      </c>
      <c r="AR66" s="666"/>
      <c r="AS66" s="666">
        <v>4729</v>
      </c>
      <c r="AT66" s="666">
        <f>AN66+AQ66</f>
        <v>4536</v>
      </c>
      <c r="AU66" s="668"/>
      <c r="AV66" s="668"/>
      <c r="AW66" s="225"/>
    </row>
    <row r="67" spans="1:49" s="14" customFormat="1" ht="31.5" x14ac:dyDescent="0.25">
      <c r="A67" s="448">
        <v>6</v>
      </c>
      <c r="B67" s="449" t="s">
        <v>1725</v>
      </c>
      <c r="C67" s="450" t="s">
        <v>920</v>
      </c>
      <c r="D67" s="450"/>
      <c r="E67" s="450" t="s">
        <v>46</v>
      </c>
      <c r="F67" s="464"/>
      <c r="G67" s="664"/>
      <c r="H67" s="664"/>
      <c r="I67" s="659"/>
      <c r="J67" s="659"/>
      <c r="K67" s="659"/>
      <c r="L67" s="659"/>
      <c r="M67" s="659"/>
      <c r="N67" s="659"/>
      <c r="O67" s="659"/>
      <c r="P67" s="659"/>
      <c r="Q67" s="659"/>
      <c r="R67" s="659"/>
      <c r="S67" s="659"/>
      <c r="T67" s="659"/>
      <c r="U67" s="659"/>
      <c r="V67" s="659"/>
      <c r="W67" s="659"/>
      <c r="X67" s="671">
        <v>3000</v>
      </c>
      <c r="Y67" s="671">
        <v>2985</v>
      </c>
      <c r="Z67" s="664"/>
      <c r="AA67" s="664"/>
      <c r="AB67" s="662"/>
      <c r="AC67" s="658"/>
      <c r="AD67" s="658"/>
      <c r="AE67" s="658"/>
      <c r="AF67" s="658"/>
      <c r="AG67" s="658"/>
      <c r="AH67" s="658"/>
      <c r="AI67" s="658"/>
      <c r="AJ67" s="663"/>
      <c r="AK67" s="673"/>
      <c r="AL67" s="673">
        <v>1095</v>
      </c>
      <c r="AM67" s="454">
        <v>1890</v>
      </c>
      <c r="AN67" s="454">
        <v>1890</v>
      </c>
      <c r="AO67" s="685"/>
      <c r="AP67" s="685"/>
      <c r="AQ67" s="666"/>
      <c r="AR67" s="666">
        <v>228</v>
      </c>
      <c r="AS67" s="674">
        <v>1662</v>
      </c>
      <c r="AT67" s="674">
        <f>AN67-AR67</f>
        <v>1662</v>
      </c>
      <c r="AU67" s="668"/>
      <c r="AV67" s="668"/>
      <c r="AW67" s="225"/>
    </row>
    <row r="68" spans="1:49" s="14" customFormat="1" ht="31.5" x14ac:dyDescent="0.25">
      <c r="A68" s="448">
        <v>7</v>
      </c>
      <c r="B68" s="449" t="s">
        <v>924</v>
      </c>
      <c r="C68" s="450" t="s">
        <v>925</v>
      </c>
      <c r="D68" s="450"/>
      <c r="E68" s="450" t="s">
        <v>46</v>
      </c>
      <c r="F68" s="464"/>
      <c r="G68" s="664"/>
      <c r="H68" s="664"/>
      <c r="I68" s="659"/>
      <c r="J68" s="659"/>
      <c r="K68" s="659"/>
      <c r="L68" s="659"/>
      <c r="M68" s="659"/>
      <c r="N68" s="659"/>
      <c r="O68" s="659"/>
      <c r="P68" s="659"/>
      <c r="Q68" s="659"/>
      <c r="R68" s="659"/>
      <c r="S68" s="659"/>
      <c r="T68" s="659"/>
      <c r="U68" s="659"/>
      <c r="V68" s="659"/>
      <c r="W68" s="659"/>
      <c r="X68" s="671">
        <v>1356</v>
      </c>
      <c r="Y68" s="671">
        <v>1356</v>
      </c>
      <c r="Z68" s="664"/>
      <c r="AA68" s="664"/>
      <c r="AB68" s="662"/>
      <c r="AC68" s="658"/>
      <c r="AD68" s="658"/>
      <c r="AE68" s="658"/>
      <c r="AF68" s="658"/>
      <c r="AG68" s="658"/>
      <c r="AH68" s="658"/>
      <c r="AI68" s="658"/>
      <c r="AJ68" s="663"/>
      <c r="AK68" s="673">
        <v>2083.8000000000002</v>
      </c>
      <c r="AL68" s="673"/>
      <c r="AM68" s="454">
        <v>10900</v>
      </c>
      <c r="AN68" s="454">
        <v>3440</v>
      </c>
      <c r="AO68" s="685"/>
      <c r="AP68" s="685"/>
      <c r="AQ68" s="666"/>
      <c r="AR68" s="666"/>
      <c r="AS68" s="674">
        <v>10900</v>
      </c>
      <c r="AT68" s="674">
        <v>3440</v>
      </c>
      <c r="AU68" s="668"/>
      <c r="AV68" s="668"/>
      <c r="AW68" s="225"/>
    </row>
    <row r="69" spans="1:49" s="14" customFormat="1" ht="34.5" customHeight="1" x14ac:dyDescent="0.25">
      <c r="A69" s="448">
        <v>8</v>
      </c>
      <c r="B69" s="449" t="s">
        <v>930</v>
      </c>
      <c r="C69" s="450" t="s">
        <v>931</v>
      </c>
      <c r="D69" s="450"/>
      <c r="E69" s="450" t="s">
        <v>46</v>
      </c>
      <c r="F69" s="464"/>
      <c r="G69" s="664"/>
      <c r="H69" s="664"/>
      <c r="I69" s="659"/>
      <c r="J69" s="659"/>
      <c r="K69" s="659"/>
      <c r="L69" s="659"/>
      <c r="M69" s="659"/>
      <c r="N69" s="659"/>
      <c r="O69" s="659"/>
      <c r="P69" s="659"/>
      <c r="Q69" s="659"/>
      <c r="R69" s="659"/>
      <c r="S69" s="659"/>
      <c r="T69" s="659"/>
      <c r="U69" s="659"/>
      <c r="V69" s="659"/>
      <c r="W69" s="659"/>
      <c r="X69" s="671">
        <v>2000</v>
      </c>
      <c r="Y69" s="671">
        <v>2000</v>
      </c>
      <c r="Z69" s="664"/>
      <c r="AA69" s="664"/>
      <c r="AB69" s="662"/>
      <c r="AC69" s="658"/>
      <c r="AD69" s="658"/>
      <c r="AE69" s="658"/>
      <c r="AF69" s="658"/>
      <c r="AG69" s="658"/>
      <c r="AH69" s="658"/>
      <c r="AI69" s="658"/>
      <c r="AJ69" s="663"/>
      <c r="AK69" s="673"/>
      <c r="AL69" s="673">
        <v>125</v>
      </c>
      <c r="AM69" s="529">
        <v>7000</v>
      </c>
      <c r="AN69" s="529">
        <v>1875</v>
      </c>
      <c r="AO69" s="685"/>
      <c r="AP69" s="685"/>
      <c r="AQ69" s="666"/>
      <c r="AR69" s="666"/>
      <c r="AS69" s="666">
        <v>6590</v>
      </c>
      <c r="AT69" s="666">
        <v>1875</v>
      </c>
      <c r="AU69" s="668"/>
      <c r="AV69" s="668"/>
      <c r="AW69" s="225"/>
    </row>
    <row r="70" spans="1:49" s="14" customFormat="1" ht="20.25" customHeight="1" x14ac:dyDescent="0.25">
      <c r="A70" s="448">
        <v>9</v>
      </c>
      <c r="B70" s="449" t="s">
        <v>1726</v>
      </c>
      <c r="C70" s="450" t="s">
        <v>60</v>
      </c>
      <c r="D70" s="450"/>
      <c r="E70" s="450" t="s">
        <v>1727</v>
      </c>
      <c r="F70" s="464"/>
      <c r="G70" s="664"/>
      <c r="H70" s="664"/>
      <c r="I70" s="659"/>
      <c r="J70" s="659"/>
      <c r="K70" s="659"/>
      <c r="L70" s="659"/>
      <c r="M70" s="659"/>
      <c r="N70" s="659"/>
      <c r="O70" s="659"/>
      <c r="P70" s="659"/>
      <c r="Q70" s="659"/>
      <c r="R70" s="659"/>
      <c r="S70" s="659"/>
      <c r="T70" s="659"/>
      <c r="U70" s="659"/>
      <c r="V70" s="659"/>
      <c r="W70" s="659"/>
      <c r="X70" s="671">
        <v>3500</v>
      </c>
      <c r="Y70" s="671">
        <v>3500</v>
      </c>
      <c r="Z70" s="664"/>
      <c r="AA70" s="664"/>
      <c r="AB70" s="662"/>
      <c r="AC70" s="658"/>
      <c r="AD70" s="658"/>
      <c r="AE70" s="658"/>
      <c r="AF70" s="658"/>
      <c r="AG70" s="658"/>
      <c r="AH70" s="658"/>
      <c r="AI70" s="658"/>
      <c r="AJ70" s="663"/>
      <c r="AK70" s="673"/>
      <c r="AL70" s="673">
        <v>20</v>
      </c>
      <c r="AM70" s="454">
        <v>3500</v>
      </c>
      <c r="AN70" s="454">
        <v>3480</v>
      </c>
      <c r="AO70" s="685"/>
      <c r="AP70" s="685"/>
      <c r="AQ70" s="666"/>
      <c r="AR70" s="666">
        <v>680</v>
      </c>
      <c r="AS70" s="666">
        <v>2820</v>
      </c>
      <c r="AT70" s="674">
        <f>AN70-AR70</f>
        <v>2800</v>
      </c>
      <c r="AU70" s="668"/>
      <c r="AV70" s="668"/>
      <c r="AW70" s="225"/>
    </row>
    <row r="71" spans="1:49" s="14" customFormat="1" ht="47.25" x14ac:dyDescent="0.25">
      <c r="A71" s="448">
        <v>10</v>
      </c>
      <c r="B71" s="449" t="s">
        <v>1728</v>
      </c>
      <c r="C71" s="450" t="s">
        <v>938</v>
      </c>
      <c r="D71" s="450"/>
      <c r="E71" s="450" t="s">
        <v>1727</v>
      </c>
      <c r="F71" s="464"/>
      <c r="G71" s="664"/>
      <c r="H71" s="664"/>
      <c r="I71" s="659"/>
      <c r="J71" s="659"/>
      <c r="K71" s="659"/>
      <c r="L71" s="659"/>
      <c r="M71" s="659"/>
      <c r="N71" s="659"/>
      <c r="O71" s="659"/>
      <c r="P71" s="659"/>
      <c r="Q71" s="659"/>
      <c r="R71" s="659"/>
      <c r="S71" s="659"/>
      <c r="T71" s="659"/>
      <c r="U71" s="659"/>
      <c r="V71" s="659"/>
      <c r="W71" s="659"/>
      <c r="X71" s="671">
        <v>1700</v>
      </c>
      <c r="Y71" s="671">
        <v>1700</v>
      </c>
      <c r="Z71" s="664"/>
      <c r="AA71" s="664"/>
      <c r="AB71" s="662"/>
      <c r="AC71" s="658"/>
      <c r="AD71" s="658"/>
      <c r="AE71" s="658"/>
      <c r="AF71" s="658"/>
      <c r="AG71" s="658"/>
      <c r="AH71" s="658"/>
      <c r="AI71" s="658"/>
      <c r="AJ71" s="663"/>
      <c r="AK71" s="673"/>
      <c r="AL71" s="673">
        <v>650</v>
      </c>
      <c r="AM71" s="454">
        <v>1100</v>
      </c>
      <c r="AN71" s="454">
        <v>1050</v>
      </c>
      <c r="AO71" s="685"/>
      <c r="AP71" s="685"/>
      <c r="AQ71" s="666"/>
      <c r="AR71" s="666">
        <v>32</v>
      </c>
      <c r="AS71" s="666">
        <v>1068</v>
      </c>
      <c r="AT71" s="674">
        <f>AN71-AR71</f>
        <v>1018</v>
      </c>
      <c r="AU71" s="668"/>
      <c r="AV71" s="668"/>
      <c r="AW71" s="225"/>
    </row>
    <row r="72" spans="1:49" s="14" customFormat="1" ht="31.5" x14ac:dyDescent="0.25">
      <c r="A72" s="448">
        <v>11</v>
      </c>
      <c r="B72" s="449" t="s">
        <v>935</v>
      </c>
      <c r="C72" s="450" t="s">
        <v>936</v>
      </c>
      <c r="D72" s="450"/>
      <c r="E72" s="450" t="s">
        <v>1727</v>
      </c>
      <c r="F72" s="464"/>
      <c r="G72" s="664"/>
      <c r="H72" s="664"/>
      <c r="I72" s="659"/>
      <c r="J72" s="659"/>
      <c r="K72" s="659"/>
      <c r="L72" s="659"/>
      <c r="M72" s="659"/>
      <c r="N72" s="659"/>
      <c r="O72" s="659"/>
      <c r="P72" s="659"/>
      <c r="Q72" s="659"/>
      <c r="R72" s="659"/>
      <c r="S72" s="659"/>
      <c r="T72" s="659"/>
      <c r="U72" s="659"/>
      <c r="V72" s="659"/>
      <c r="W72" s="659"/>
      <c r="X72" s="671">
        <v>4500</v>
      </c>
      <c r="Y72" s="671">
        <v>4500</v>
      </c>
      <c r="Z72" s="664"/>
      <c r="AA72" s="664"/>
      <c r="AB72" s="662"/>
      <c r="AC72" s="658"/>
      <c r="AD72" s="658"/>
      <c r="AE72" s="658"/>
      <c r="AF72" s="658"/>
      <c r="AG72" s="658"/>
      <c r="AH72" s="658"/>
      <c r="AI72" s="658"/>
      <c r="AJ72" s="663"/>
      <c r="AK72" s="673"/>
      <c r="AL72" s="673">
        <v>4500</v>
      </c>
      <c r="AM72" s="454"/>
      <c r="AN72" s="454"/>
      <c r="AO72" s="685"/>
      <c r="AP72" s="685"/>
      <c r="AQ72" s="666"/>
      <c r="AR72" s="666"/>
      <c r="AS72" s="666"/>
      <c r="AT72" s="666"/>
      <c r="AU72" s="668"/>
      <c r="AV72" s="668"/>
      <c r="AW72" s="225"/>
    </row>
    <row r="73" spans="1:49" s="14" customFormat="1" ht="47.25" x14ac:dyDescent="0.25">
      <c r="A73" s="448">
        <v>12</v>
      </c>
      <c r="B73" s="449" t="s">
        <v>1729</v>
      </c>
      <c r="C73" s="450" t="s">
        <v>931</v>
      </c>
      <c r="D73" s="450" t="s">
        <v>1730</v>
      </c>
      <c r="E73" s="450" t="s">
        <v>1727</v>
      </c>
      <c r="F73" s="464"/>
      <c r="G73" s="664"/>
      <c r="H73" s="664"/>
      <c r="I73" s="659"/>
      <c r="J73" s="659"/>
      <c r="K73" s="659"/>
      <c r="L73" s="659"/>
      <c r="M73" s="659"/>
      <c r="N73" s="659"/>
      <c r="O73" s="659"/>
      <c r="P73" s="659"/>
      <c r="Q73" s="659"/>
      <c r="R73" s="659"/>
      <c r="S73" s="659"/>
      <c r="T73" s="659"/>
      <c r="U73" s="659"/>
      <c r="V73" s="659"/>
      <c r="W73" s="659"/>
      <c r="X73" s="671">
        <v>5000</v>
      </c>
      <c r="Y73" s="671">
        <v>5000</v>
      </c>
      <c r="Z73" s="664"/>
      <c r="AA73" s="664"/>
      <c r="AB73" s="662"/>
      <c r="AC73" s="658"/>
      <c r="AD73" s="658"/>
      <c r="AE73" s="658"/>
      <c r="AF73" s="658"/>
      <c r="AG73" s="658"/>
      <c r="AH73" s="658"/>
      <c r="AI73" s="658"/>
      <c r="AJ73" s="663"/>
      <c r="AK73" s="673"/>
      <c r="AL73" s="673">
        <v>825</v>
      </c>
      <c r="AM73" s="454">
        <v>4200</v>
      </c>
      <c r="AN73" s="454">
        <v>4175</v>
      </c>
      <c r="AO73" s="685"/>
      <c r="AP73" s="685"/>
      <c r="AQ73" s="666"/>
      <c r="AR73" s="666">
        <v>164</v>
      </c>
      <c r="AS73" s="666">
        <v>4036</v>
      </c>
      <c r="AT73" s="674">
        <f>AN73-AR73</f>
        <v>4011</v>
      </c>
      <c r="AU73" s="668"/>
      <c r="AV73" s="668"/>
      <c r="AW73" s="225"/>
    </row>
    <row r="74" spans="1:49" s="683" customFormat="1" ht="31.5" x14ac:dyDescent="0.25">
      <c r="A74" s="448">
        <v>13</v>
      </c>
      <c r="B74" s="449" t="s">
        <v>1731</v>
      </c>
      <c r="C74" s="450" t="s">
        <v>927</v>
      </c>
      <c r="D74" s="450" t="s">
        <v>499</v>
      </c>
      <c r="E74" s="450" t="s">
        <v>1727</v>
      </c>
      <c r="F74" s="464"/>
      <c r="G74" s="664"/>
      <c r="H74" s="664"/>
      <c r="I74" s="659"/>
      <c r="J74" s="659"/>
      <c r="K74" s="659"/>
      <c r="L74" s="659"/>
      <c r="M74" s="659"/>
      <c r="N74" s="659"/>
      <c r="O74" s="659"/>
      <c r="P74" s="659"/>
      <c r="Q74" s="659"/>
      <c r="R74" s="659"/>
      <c r="S74" s="659"/>
      <c r="T74" s="659"/>
      <c r="U74" s="659"/>
      <c r="V74" s="659"/>
      <c r="W74" s="659"/>
      <c r="X74" s="671">
        <v>4659</v>
      </c>
      <c r="Y74" s="671">
        <v>4659</v>
      </c>
      <c r="Z74" s="664"/>
      <c r="AA74" s="664"/>
      <c r="AB74" s="662"/>
      <c r="AC74" s="658"/>
      <c r="AD74" s="658"/>
      <c r="AE74" s="658"/>
      <c r="AF74" s="658"/>
      <c r="AG74" s="658"/>
      <c r="AH74" s="658"/>
      <c r="AI74" s="658"/>
      <c r="AJ74" s="663"/>
      <c r="AK74" s="673"/>
      <c r="AL74" s="673">
        <v>0</v>
      </c>
      <c r="AM74" s="454">
        <v>12000</v>
      </c>
      <c r="AN74" s="454">
        <v>4659</v>
      </c>
      <c r="AO74" s="685"/>
      <c r="AP74" s="685"/>
      <c r="AQ74" s="666"/>
      <c r="AR74" s="666"/>
      <c r="AS74" s="666">
        <v>11555</v>
      </c>
      <c r="AT74" s="666">
        <v>4659</v>
      </c>
      <c r="AU74" s="688"/>
      <c r="AV74" s="688"/>
      <c r="AW74" s="682"/>
    </row>
    <row r="75" spans="1:49" s="14" customFormat="1" ht="31.5" x14ac:dyDescent="0.25">
      <c r="A75" s="448">
        <v>14</v>
      </c>
      <c r="B75" s="449" t="s">
        <v>1732</v>
      </c>
      <c r="C75" s="450" t="s">
        <v>945</v>
      </c>
      <c r="D75" s="450"/>
      <c r="E75" s="450" t="s">
        <v>1727</v>
      </c>
      <c r="F75" s="464"/>
      <c r="G75" s="664"/>
      <c r="H75" s="664"/>
      <c r="I75" s="659"/>
      <c r="J75" s="659"/>
      <c r="K75" s="659"/>
      <c r="L75" s="659"/>
      <c r="M75" s="659"/>
      <c r="N75" s="659"/>
      <c r="O75" s="659"/>
      <c r="P75" s="659"/>
      <c r="Q75" s="659"/>
      <c r="R75" s="659"/>
      <c r="S75" s="659"/>
      <c r="T75" s="659"/>
      <c r="U75" s="659"/>
      <c r="V75" s="659"/>
      <c r="W75" s="659"/>
      <c r="X75" s="671">
        <v>4500</v>
      </c>
      <c r="Y75" s="671">
        <v>4500</v>
      </c>
      <c r="Z75" s="664"/>
      <c r="AA75" s="664"/>
      <c r="AB75" s="662"/>
      <c r="AC75" s="658"/>
      <c r="AD75" s="658"/>
      <c r="AE75" s="658"/>
      <c r="AF75" s="658"/>
      <c r="AG75" s="658"/>
      <c r="AH75" s="658"/>
      <c r="AI75" s="658"/>
      <c r="AJ75" s="663"/>
      <c r="AK75" s="673"/>
      <c r="AL75" s="673">
        <v>22</v>
      </c>
      <c r="AM75" s="454">
        <v>4500</v>
      </c>
      <c r="AN75" s="454">
        <v>4478</v>
      </c>
      <c r="AO75" s="685"/>
      <c r="AP75" s="685"/>
      <c r="AQ75" s="666"/>
      <c r="AR75" s="666">
        <v>622</v>
      </c>
      <c r="AS75" s="666">
        <v>3878</v>
      </c>
      <c r="AT75" s="674">
        <f>AN75-AR75</f>
        <v>3856</v>
      </c>
      <c r="AU75" s="668"/>
      <c r="AV75" s="668"/>
      <c r="AW75" s="225"/>
    </row>
    <row r="76" spans="1:49" s="14" customFormat="1" ht="31.5" x14ac:dyDescent="0.25">
      <c r="A76" s="448">
        <v>15</v>
      </c>
      <c r="B76" s="449" t="s">
        <v>1733</v>
      </c>
      <c r="C76" s="450" t="s">
        <v>498</v>
      </c>
      <c r="D76" s="450"/>
      <c r="E76" s="450" t="s">
        <v>1727</v>
      </c>
      <c r="F76" s="464"/>
      <c r="G76" s="664"/>
      <c r="H76" s="664"/>
      <c r="I76" s="659"/>
      <c r="J76" s="659"/>
      <c r="K76" s="659"/>
      <c r="L76" s="659"/>
      <c r="M76" s="659"/>
      <c r="N76" s="659"/>
      <c r="O76" s="659"/>
      <c r="P76" s="659"/>
      <c r="Q76" s="659"/>
      <c r="R76" s="659"/>
      <c r="S76" s="659"/>
      <c r="T76" s="659"/>
      <c r="U76" s="659"/>
      <c r="V76" s="659"/>
      <c r="W76" s="659"/>
      <c r="X76" s="671">
        <v>3500</v>
      </c>
      <c r="Y76" s="671">
        <v>3500</v>
      </c>
      <c r="Z76" s="664"/>
      <c r="AA76" s="664"/>
      <c r="AB76" s="662"/>
      <c r="AC76" s="658"/>
      <c r="AD76" s="658"/>
      <c r="AE76" s="658"/>
      <c r="AF76" s="658"/>
      <c r="AG76" s="658"/>
      <c r="AH76" s="658"/>
      <c r="AI76" s="658"/>
      <c r="AJ76" s="663"/>
      <c r="AK76" s="673"/>
      <c r="AL76" s="673">
        <v>1515</v>
      </c>
      <c r="AM76" s="529">
        <v>2000</v>
      </c>
      <c r="AN76" s="531">
        <v>1985</v>
      </c>
      <c r="AO76" s="685"/>
      <c r="AP76" s="685"/>
      <c r="AQ76" s="666"/>
      <c r="AR76" s="666">
        <v>311</v>
      </c>
      <c r="AS76" s="666">
        <v>1689</v>
      </c>
      <c r="AT76" s="674">
        <f>AN76-AR76</f>
        <v>1674</v>
      </c>
      <c r="AU76" s="668"/>
      <c r="AV76" s="668"/>
      <c r="AW76" s="225"/>
    </row>
    <row r="77" spans="1:49" s="14" customFormat="1" ht="31.5" x14ac:dyDescent="0.25">
      <c r="A77" s="448">
        <v>16</v>
      </c>
      <c r="B77" s="449" t="s">
        <v>1734</v>
      </c>
      <c r="C77" s="450" t="s">
        <v>56</v>
      </c>
      <c r="D77" s="450"/>
      <c r="E77" s="450" t="s">
        <v>52</v>
      </c>
      <c r="F77" s="464"/>
      <c r="G77" s="664"/>
      <c r="H77" s="664"/>
      <c r="I77" s="659"/>
      <c r="J77" s="659"/>
      <c r="K77" s="659"/>
      <c r="L77" s="659"/>
      <c r="M77" s="659"/>
      <c r="N77" s="659"/>
      <c r="O77" s="659"/>
      <c r="P77" s="659"/>
      <c r="Q77" s="659"/>
      <c r="R77" s="659"/>
      <c r="S77" s="659"/>
      <c r="T77" s="659"/>
      <c r="U77" s="659"/>
      <c r="V77" s="659"/>
      <c r="W77" s="659"/>
      <c r="X77" s="671">
        <v>4500</v>
      </c>
      <c r="Y77" s="671">
        <v>4500</v>
      </c>
      <c r="Z77" s="664"/>
      <c r="AA77" s="664"/>
      <c r="AB77" s="662"/>
      <c r="AC77" s="658"/>
      <c r="AD77" s="658"/>
      <c r="AE77" s="658"/>
      <c r="AF77" s="658"/>
      <c r="AG77" s="658"/>
      <c r="AH77" s="658"/>
      <c r="AI77" s="658"/>
      <c r="AJ77" s="663"/>
      <c r="AK77" s="673">
        <v>550</v>
      </c>
      <c r="AL77" s="673"/>
      <c r="AM77" s="454">
        <v>5200</v>
      </c>
      <c r="AN77" s="454">
        <v>5050</v>
      </c>
      <c r="AO77" s="685"/>
      <c r="AP77" s="685"/>
      <c r="AQ77" s="686"/>
      <c r="AR77" s="686"/>
      <c r="AS77" s="674">
        <v>5200</v>
      </c>
      <c r="AT77" s="674">
        <v>5050</v>
      </c>
      <c r="AU77" s="668"/>
      <c r="AV77" s="668"/>
      <c r="AW77" s="225"/>
    </row>
    <row r="78" spans="1:49" s="14" customFormat="1" ht="33" customHeight="1" x14ac:dyDescent="0.25">
      <c r="A78" s="448">
        <v>17</v>
      </c>
      <c r="B78" s="449" t="s">
        <v>941</v>
      </c>
      <c r="C78" s="450" t="s">
        <v>58</v>
      </c>
      <c r="D78" s="450"/>
      <c r="E78" s="450" t="s">
        <v>52</v>
      </c>
      <c r="F78" s="464"/>
      <c r="G78" s="664"/>
      <c r="H78" s="664"/>
      <c r="I78" s="659"/>
      <c r="J78" s="659"/>
      <c r="K78" s="659"/>
      <c r="L78" s="659"/>
      <c r="M78" s="659"/>
      <c r="N78" s="659"/>
      <c r="O78" s="659"/>
      <c r="P78" s="659"/>
      <c r="Q78" s="659"/>
      <c r="R78" s="659"/>
      <c r="S78" s="659"/>
      <c r="T78" s="659"/>
      <c r="U78" s="659"/>
      <c r="V78" s="659"/>
      <c r="W78" s="659"/>
      <c r="X78" s="671">
        <v>2300</v>
      </c>
      <c r="Y78" s="671">
        <v>2300</v>
      </c>
      <c r="Z78" s="664"/>
      <c r="AA78" s="664"/>
      <c r="AB78" s="662"/>
      <c r="AC78" s="658"/>
      <c r="AD78" s="658"/>
      <c r="AE78" s="658"/>
      <c r="AF78" s="658"/>
      <c r="AG78" s="658"/>
      <c r="AH78" s="658"/>
      <c r="AI78" s="658"/>
      <c r="AJ78" s="663"/>
      <c r="AK78" s="673"/>
      <c r="AL78" s="673">
        <v>2300</v>
      </c>
      <c r="AM78" s="454"/>
      <c r="AN78" s="454"/>
      <c r="AO78" s="685"/>
      <c r="AP78" s="685"/>
      <c r="AQ78" s="686"/>
      <c r="AR78" s="686"/>
      <c r="AS78" s="689"/>
      <c r="AT78" s="689"/>
      <c r="AU78" s="668"/>
      <c r="AV78" s="668"/>
      <c r="AW78" s="225"/>
    </row>
    <row r="79" spans="1:49" s="14" customFormat="1" ht="31.5" x14ac:dyDescent="0.25">
      <c r="A79" s="448">
        <v>18</v>
      </c>
      <c r="B79" s="449" t="s">
        <v>939</v>
      </c>
      <c r="C79" s="450" t="s">
        <v>56</v>
      </c>
      <c r="D79" s="450"/>
      <c r="E79" s="450" t="s">
        <v>52</v>
      </c>
      <c r="F79" s="464"/>
      <c r="G79" s="664"/>
      <c r="H79" s="664"/>
      <c r="I79" s="659"/>
      <c r="J79" s="659"/>
      <c r="K79" s="659"/>
      <c r="L79" s="659"/>
      <c r="M79" s="659"/>
      <c r="N79" s="659"/>
      <c r="O79" s="659"/>
      <c r="P79" s="659"/>
      <c r="Q79" s="659"/>
      <c r="R79" s="659"/>
      <c r="S79" s="659"/>
      <c r="T79" s="659"/>
      <c r="U79" s="659"/>
      <c r="V79" s="659"/>
      <c r="W79" s="659"/>
      <c r="X79" s="671">
        <v>2492</v>
      </c>
      <c r="Y79" s="671">
        <v>2492</v>
      </c>
      <c r="Z79" s="664"/>
      <c r="AA79" s="664"/>
      <c r="AB79" s="662"/>
      <c r="AC79" s="658"/>
      <c r="AD79" s="658"/>
      <c r="AE79" s="658"/>
      <c r="AF79" s="658"/>
      <c r="AG79" s="658"/>
      <c r="AH79" s="658"/>
      <c r="AI79" s="658"/>
      <c r="AJ79" s="663"/>
      <c r="AK79" s="673"/>
      <c r="AL79" s="673">
        <v>2492</v>
      </c>
      <c r="AM79" s="454"/>
      <c r="AN79" s="454"/>
      <c r="AO79" s="685"/>
      <c r="AP79" s="685"/>
      <c r="AQ79" s="686"/>
      <c r="AR79" s="686"/>
      <c r="AS79" s="689"/>
      <c r="AT79" s="689"/>
      <c r="AU79" s="668"/>
      <c r="AV79" s="668"/>
      <c r="AW79" s="225"/>
    </row>
    <row r="80" spans="1:49" s="14" customFormat="1" ht="44.25" customHeight="1" x14ac:dyDescent="0.25">
      <c r="A80" s="448">
        <v>19</v>
      </c>
      <c r="B80" s="449" t="s">
        <v>1735</v>
      </c>
      <c r="C80" s="450" t="s">
        <v>1736</v>
      </c>
      <c r="D80" s="450"/>
      <c r="E80" s="450" t="s">
        <v>52</v>
      </c>
      <c r="F80" s="464"/>
      <c r="G80" s="664"/>
      <c r="H80" s="664"/>
      <c r="I80" s="659"/>
      <c r="J80" s="659"/>
      <c r="K80" s="659"/>
      <c r="L80" s="659"/>
      <c r="M80" s="659"/>
      <c r="N80" s="659"/>
      <c r="O80" s="659"/>
      <c r="P80" s="659"/>
      <c r="Q80" s="659"/>
      <c r="R80" s="659"/>
      <c r="S80" s="659"/>
      <c r="T80" s="659"/>
      <c r="U80" s="659"/>
      <c r="V80" s="659"/>
      <c r="W80" s="659"/>
      <c r="X80" s="671">
        <v>1085</v>
      </c>
      <c r="Y80" s="671">
        <v>1085</v>
      </c>
      <c r="Z80" s="664"/>
      <c r="AA80" s="664"/>
      <c r="AB80" s="662"/>
      <c r="AC80" s="658"/>
      <c r="AD80" s="658"/>
      <c r="AE80" s="658"/>
      <c r="AF80" s="658"/>
      <c r="AG80" s="658"/>
      <c r="AH80" s="658"/>
      <c r="AI80" s="658"/>
      <c r="AJ80" s="663"/>
      <c r="AK80" s="673"/>
      <c r="AL80" s="673">
        <v>85</v>
      </c>
      <c r="AM80" s="454">
        <v>1100</v>
      </c>
      <c r="AN80" s="454">
        <v>1000</v>
      </c>
      <c r="AO80" s="685"/>
      <c r="AP80" s="685"/>
      <c r="AQ80" s="686"/>
      <c r="AR80" s="686"/>
      <c r="AS80" s="452">
        <v>1100</v>
      </c>
      <c r="AT80" s="452">
        <v>1000</v>
      </c>
      <c r="AU80" s="668"/>
      <c r="AV80" s="668"/>
      <c r="AW80" s="225"/>
    </row>
    <row r="81" spans="1:50" s="14" customFormat="1" x14ac:dyDescent="0.25">
      <c r="A81" s="448"/>
      <c r="B81" s="690" t="s">
        <v>1737</v>
      </c>
      <c r="C81" s="450"/>
      <c r="D81" s="450"/>
      <c r="E81" s="450"/>
      <c r="F81" s="464"/>
      <c r="G81" s="664"/>
      <c r="H81" s="664"/>
      <c r="I81" s="659"/>
      <c r="J81" s="659"/>
      <c r="K81" s="659"/>
      <c r="L81" s="659"/>
      <c r="M81" s="659"/>
      <c r="N81" s="659"/>
      <c r="O81" s="659"/>
      <c r="P81" s="659"/>
      <c r="Q81" s="659"/>
      <c r="R81" s="659"/>
      <c r="S81" s="659"/>
      <c r="T81" s="659"/>
      <c r="U81" s="659"/>
      <c r="V81" s="659"/>
      <c r="W81" s="659"/>
      <c r="X81" s="671"/>
      <c r="Y81" s="671"/>
      <c r="Z81" s="664"/>
      <c r="AA81" s="664"/>
      <c r="AB81" s="662"/>
      <c r="AC81" s="658"/>
      <c r="AD81" s="658"/>
      <c r="AE81" s="658"/>
      <c r="AF81" s="658"/>
      <c r="AG81" s="658"/>
      <c r="AH81" s="658"/>
      <c r="AI81" s="658"/>
      <c r="AJ81" s="663"/>
      <c r="AK81" s="673">
        <v>0</v>
      </c>
      <c r="AL81" s="673">
        <v>0</v>
      </c>
      <c r="AM81" s="454"/>
      <c r="AN81" s="454"/>
      <c r="AO81" s="685"/>
      <c r="AP81" s="685"/>
      <c r="AQ81" s="686"/>
      <c r="AR81" s="686"/>
      <c r="AS81" s="452"/>
      <c r="AT81" s="452"/>
      <c r="AU81" s="668"/>
      <c r="AV81" s="668"/>
      <c r="AW81" s="225"/>
    </row>
    <row r="82" spans="1:50" s="14" customFormat="1" ht="31.5" x14ac:dyDescent="0.25">
      <c r="A82" s="448">
        <v>20</v>
      </c>
      <c r="B82" s="518" t="s">
        <v>1738</v>
      </c>
      <c r="C82" s="450"/>
      <c r="D82" s="450"/>
      <c r="E82" s="450"/>
      <c r="F82" s="464"/>
      <c r="G82" s="664"/>
      <c r="H82" s="664"/>
      <c r="I82" s="659"/>
      <c r="J82" s="659"/>
      <c r="K82" s="659"/>
      <c r="L82" s="659"/>
      <c r="M82" s="659"/>
      <c r="N82" s="659"/>
      <c r="O82" s="659"/>
      <c r="P82" s="659"/>
      <c r="Q82" s="659"/>
      <c r="R82" s="659"/>
      <c r="S82" s="659"/>
      <c r="T82" s="659"/>
      <c r="U82" s="659"/>
      <c r="V82" s="659"/>
      <c r="W82" s="659"/>
      <c r="X82" s="671"/>
      <c r="Y82" s="671"/>
      <c r="Z82" s="664"/>
      <c r="AA82" s="664"/>
      <c r="AB82" s="662"/>
      <c r="AC82" s="658"/>
      <c r="AD82" s="658"/>
      <c r="AE82" s="658"/>
      <c r="AF82" s="658"/>
      <c r="AG82" s="658"/>
      <c r="AH82" s="658"/>
      <c r="AI82" s="658"/>
      <c r="AJ82" s="663"/>
      <c r="AK82" s="673">
        <v>1500</v>
      </c>
      <c r="AL82" s="673"/>
      <c r="AM82" s="513">
        <v>1550</v>
      </c>
      <c r="AN82" s="513">
        <v>1500</v>
      </c>
      <c r="AO82" s="685"/>
      <c r="AP82" s="685"/>
      <c r="AQ82" s="686"/>
      <c r="AR82" s="686"/>
      <c r="AS82" s="513">
        <v>1550</v>
      </c>
      <c r="AT82" s="513">
        <v>1500</v>
      </c>
      <c r="AU82" s="668"/>
      <c r="AV82" s="668"/>
      <c r="AW82" s="225"/>
    </row>
    <row r="83" spans="1:50" s="14" customFormat="1" ht="31.5" x14ac:dyDescent="0.25">
      <c r="A83" s="448">
        <v>21</v>
      </c>
      <c r="B83" s="518" t="s">
        <v>1739</v>
      </c>
      <c r="C83" s="450"/>
      <c r="D83" s="450"/>
      <c r="E83" s="450"/>
      <c r="F83" s="464"/>
      <c r="G83" s="664"/>
      <c r="H83" s="664"/>
      <c r="I83" s="659"/>
      <c r="J83" s="659"/>
      <c r="K83" s="659"/>
      <c r="L83" s="659"/>
      <c r="M83" s="659"/>
      <c r="N83" s="659"/>
      <c r="O83" s="659"/>
      <c r="P83" s="659"/>
      <c r="Q83" s="659"/>
      <c r="R83" s="659"/>
      <c r="S83" s="659"/>
      <c r="T83" s="659"/>
      <c r="U83" s="659"/>
      <c r="V83" s="659"/>
      <c r="W83" s="659"/>
      <c r="X83" s="671"/>
      <c r="Y83" s="671"/>
      <c r="Z83" s="664"/>
      <c r="AA83" s="664"/>
      <c r="AB83" s="662"/>
      <c r="AC83" s="658"/>
      <c r="AD83" s="658"/>
      <c r="AE83" s="658"/>
      <c r="AF83" s="658"/>
      <c r="AG83" s="658"/>
      <c r="AH83" s="658"/>
      <c r="AI83" s="658"/>
      <c r="AJ83" s="663"/>
      <c r="AK83" s="673">
        <v>1975</v>
      </c>
      <c r="AL83" s="673"/>
      <c r="AM83" s="513">
        <v>2000</v>
      </c>
      <c r="AN83" s="513">
        <v>1975</v>
      </c>
      <c r="AO83" s="685"/>
      <c r="AP83" s="685"/>
      <c r="AQ83" s="686"/>
      <c r="AR83" s="666">
        <v>985</v>
      </c>
      <c r="AS83" s="513">
        <v>1015</v>
      </c>
      <c r="AT83" s="674">
        <f>AN83-AR83</f>
        <v>990</v>
      </c>
      <c r="AU83" s="668"/>
      <c r="AV83" s="668"/>
      <c r="AW83" s="225"/>
    </row>
    <row r="84" spans="1:50" s="14" customFormat="1" ht="33" customHeight="1" x14ac:dyDescent="0.25">
      <c r="A84" s="448">
        <v>22</v>
      </c>
      <c r="B84" s="518" t="s">
        <v>1740</v>
      </c>
      <c r="C84" s="450"/>
      <c r="D84" s="450"/>
      <c r="E84" s="450"/>
      <c r="F84" s="464"/>
      <c r="G84" s="664"/>
      <c r="H84" s="664"/>
      <c r="I84" s="659"/>
      <c r="J84" s="659"/>
      <c r="K84" s="659"/>
      <c r="L84" s="659"/>
      <c r="M84" s="659"/>
      <c r="N84" s="659"/>
      <c r="O84" s="659"/>
      <c r="P84" s="659"/>
      <c r="Q84" s="659"/>
      <c r="R84" s="659"/>
      <c r="S84" s="659"/>
      <c r="T84" s="659"/>
      <c r="U84" s="659"/>
      <c r="V84" s="659"/>
      <c r="W84" s="659"/>
      <c r="X84" s="671"/>
      <c r="Y84" s="671"/>
      <c r="Z84" s="664"/>
      <c r="AA84" s="664"/>
      <c r="AB84" s="662"/>
      <c r="AC84" s="658"/>
      <c r="AD84" s="658"/>
      <c r="AE84" s="658"/>
      <c r="AF84" s="658"/>
      <c r="AG84" s="658"/>
      <c r="AH84" s="658"/>
      <c r="AI84" s="658"/>
      <c r="AJ84" s="663"/>
      <c r="AK84" s="673">
        <v>1000</v>
      </c>
      <c r="AL84" s="673"/>
      <c r="AM84" s="513">
        <v>1050</v>
      </c>
      <c r="AN84" s="513">
        <v>1000</v>
      </c>
      <c r="AO84" s="685"/>
      <c r="AP84" s="685"/>
      <c r="AQ84" s="686"/>
      <c r="AR84" s="686"/>
      <c r="AS84" s="513">
        <v>1050</v>
      </c>
      <c r="AT84" s="513">
        <v>1000</v>
      </c>
      <c r="AU84" s="668"/>
      <c r="AV84" s="668"/>
      <c r="AW84" s="225"/>
    </row>
    <row r="85" spans="1:50" s="14" customFormat="1" ht="33" customHeight="1" x14ac:dyDescent="0.25">
      <c r="A85" s="448">
        <v>23</v>
      </c>
      <c r="B85" s="518" t="s">
        <v>1741</v>
      </c>
      <c r="C85" s="450"/>
      <c r="D85" s="450"/>
      <c r="E85" s="450"/>
      <c r="F85" s="464"/>
      <c r="G85" s="664"/>
      <c r="H85" s="664"/>
      <c r="I85" s="659"/>
      <c r="J85" s="659"/>
      <c r="K85" s="659"/>
      <c r="L85" s="659"/>
      <c r="M85" s="659"/>
      <c r="N85" s="659"/>
      <c r="O85" s="659"/>
      <c r="P85" s="659"/>
      <c r="Q85" s="659"/>
      <c r="R85" s="659"/>
      <c r="S85" s="659"/>
      <c r="T85" s="659"/>
      <c r="U85" s="659"/>
      <c r="V85" s="659"/>
      <c r="W85" s="659"/>
      <c r="X85" s="671"/>
      <c r="Y85" s="671"/>
      <c r="Z85" s="664"/>
      <c r="AA85" s="664"/>
      <c r="AB85" s="662"/>
      <c r="AC85" s="658"/>
      <c r="AD85" s="658"/>
      <c r="AE85" s="658"/>
      <c r="AF85" s="658"/>
      <c r="AG85" s="658"/>
      <c r="AH85" s="658"/>
      <c r="AI85" s="658"/>
      <c r="AJ85" s="663"/>
      <c r="AK85" s="673">
        <v>3949</v>
      </c>
      <c r="AL85" s="673"/>
      <c r="AM85" s="454">
        <v>14500</v>
      </c>
      <c r="AN85" s="691">
        <v>3949</v>
      </c>
      <c r="AO85" s="685"/>
      <c r="AP85" s="685"/>
      <c r="AQ85" s="686"/>
      <c r="AR85" s="686"/>
      <c r="AS85" s="691">
        <v>14500</v>
      </c>
      <c r="AT85" s="691">
        <v>3949</v>
      </c>
      <c r="AU85" s="668"/>
      <c r="AV85" s="668"/>
      <c r="AW85" s="225"/>
    </row>
    <row r="86" spans="1:50" ht="31.5" x14ac:dyDescent="0.25">
      <c r="A86" s="448" t="s">
        <v>811</v>
      </c>
      <c r="B86" s="518" t="s">
        <v>1742</v>
      </c>
      <c r="C86" s="450"/>
      <c r="D86" s="450"/>
      <c r="E86" s="450"/>
      <c r="F86" s="464"/>
      <c r="G86" s="664"/>
      <c r="H86" s="664"/>
      <c r="I86" s="659"/>
      <c r="J86" s="659"/>
      <c r="K86" s="659"/>
      <c r="L86" s="659"/>
      <c r="M86" s="659"/>
      <c r="N86" s="659"/>
      <c r="O86" s="659"/>
      <c r="P86" s="659"/>
      <c r="Q86" s="659"/>
      <c r="R86" s="659"/>
      <c r="S86" s="659"/>
      <c r="T86" s="659"/>
      <c r="U86" s="659"/>
      <c r="V86" s="659"/>
      <c r="W86" s="659"/>
      <c r="X86" s="671"/>
      <c r="Y86" s="671"/>
      <c r="Z86" s="664"/>
      <c r="AA86" s="664"/>
      <c r="AB86" s="662"/>
      <c r="AC86" s="658"/>
      <c r="AD86" s="658"/>
      <c r="AE86" s="658"/>
      <c r="AF86" s="658"/>
      <c r="AG86" s="658"/>
      <c r="AH86" s="658"/>
      <c r="AI86" s="658"/>
      <c r="AJ86" s="663"/>
      <c r="AK86" s="673"/>
      <c r="AL86" s="673"/>
      <c r="AM86" s="454"/>
      <c r="AN86" s="691"/>
      <c r="AO86" s="685"/>
      <c r="AP86" s="685"/>
      <c r="AQ86" s="666">
        <v>3086</v>
      </c>
      <c r="AR86" s="686"/>
      <c r="AS86" s="452">
        <v>9000</v>
      </c>
      <c r="AT86" s="452">
        <v>3086</v>
      </c>
      <c r="AU86" s="660"/>
      <c r="AV86" s="660"/>
      <c r="AW86" s="147"/>
      <c r="AX86" s="119"/>
    </row>
    <row r="87" spans="1:50" ht="43.5" customHeight="1" x14ac:dyDescent="0.25">
      <c r="A87" s="646" t="s">
        <v>648</v>
      </c>
      <c r="B87" s="647" t="s">
        <v>1743</v>
      </c>
      <c r="C87" s="464"/>
      <c r="D87" s="464"/>
      <c r="E87" s="613"/>
      <c r="F87" s="464"/>
      <c r="G87" s="658">
        <v>22503.15</v>
      </c>
      <c r="H87" s="658">
        <v>22290.860999999997</v>
      </c>
      <c r="I87" s="659"/>
      <c r="J87" s="659"/>
      <c r="K87" s="659"/>
      <c r="L87" s="659"/>
      <c r="M87" s="659"/>
      <c r="N87" s="659"/>
      <c r="O87" s="659"/>
      <c r="P87" s="659"/>
      <c r="Q87" s="659"/>
      <c r="R87" s="659"/>
      <c r="S87" s="659"/>
      <c r="T87" s="659"/>
      <c r="U87" s="659"/>
      <c r="V87" s="659"/>
      <c r="W87" s="659"/>
      <c r="X87" s="664">
        <v>43825</v>
      </c>
      <c r="Y87" s="664">
        <v>43565.165999999997</v>
      </c>
      <c r="Z87" s="664">
        <v>0</v>
      </c>
      <c r="AA87" s="664">
        <v>0</v>
      </c>
      <c r="AB87" s="664">
        <v>0</v>
      </c>
      <c r="AC87" s="664">
        <v>0</v>
      </c>
      <c r="AD87" s="664">
        <v>0</v>
      </c>
      <c r="AE87" s="664">
        <v>0</v>
      </c>
      <c r="AF87" s="664">
        <v>0</v>
      </c>
      <c r="AG87" s="664">
        <v>0</v>
      </c>
      <c r="AH87" s="664">
        <v>0</v>
      </c>
      <c r="AI87" s="664">
        <v>0</v>
      </c>
      <c r="AJ87" s="664">
        <v>0</v>
      </c>
      <c r="AK87" s="664">
        <v>4747.3130000000001</v>
      </c>
      <c r="AL87" s="664">
        <v>3596.4790000000003</v>
      </c>
      <c r="AM87" s="692">
        <f t="shared" ref="AM87:AN87" si="10">AM88+AM89</f>
        <v>45016</v>
      </c>
      <c r="AN87" s="692">
        <f t="shared" si="10"/>
        <v>44716</v>
      </c>
      <c r="AO87" s="692">
        <v>0</v>
      </c>
      <c r="AP87" s="692">
        <v>0</v>
      </c>
      <c r="AQ87" s="693">
        <v>0</v>
      </c>
      <c r="AR87" s="693">
        <v>0</v>
      </c>
      <c r="AS87" s="692">
        <f t="shared" ref="AS87:AT87" si="11">AS88+AS89</f>
        <v>45016</v>
      </c>
      <c r="AT87" s="692">
        <f t="shared" si="11"/>
        <v>44716</v>
      </c>
      <c r="AU87" s="694"/>
      <c r="AV87" s="694"/>
      <c r="AW87" s="147"/>
      <c r="AX87" s="119"/>
    </row>
    <row r="88" spans="1:50" ht="47.25" x14ac:dyDescent="0.25">
      <c r="A88" s="622" t="s">
        <v>730</v>
      </c>
      <c r="B88" s="470" t="s">
        <v>1670</v>
      </c>
      <c r="C88" s="471"/>
      <c r="D88" s="471"/>
      <c r="E88" s="471"/>
      <c r="F88" s="450"/>
      <c r="G88" s="680">
        <v>15772.15</v>
      </c>
      <c r="H88" s="680">
        <v>15559.860999999999</v>
      </c>
      <c r="I88" s="670"/>
      <c r="J88" s="670"/>
      <c r="K88" s="670"/>
      <c r="L88" s="670"/>
      <c r="M88" s="670"/>
      <c r="N88" s="670"/>
      <c r="O88" s="670"/>
      <c r="P88" s="670"/>
      <c r="Q88" s="670"/>
      <c r="R88" s="670"/>
      <c r="S88" s="670"/>
      <c r="T88" s="670"/>
      <c r="U88" s="670"/>
      <c r="V88" s="670"/>
      <c r="W88" s="670"/>
      <c r="X88" s="678">
        <v>6115.1660000000002</v>
      </c>
      <c r="Y88" s="678">
        <v>6115.1660000000002</v>
      </c>
      <c r="Z88" s="673"/>
      <c r="AA88" s="673"/>
      <c r="AB88" s="671"/>
      <c r="AC88" s="669"/>
      <c r="AD88" s="669"/>
      <c r="AE88" s="669"/>
      <c r="AF88" s="669"/>
      <c r="AG88" s="669"/>
      <c r="AH88" s="669"/>
      <c r="AI88" s="669"/>
      <c r="AJ88" s="672"/>
      <c r="AK88" s="673"/>
      <c r="AL88" s="673"/>
      <c r="AM88" s="695">
        <v>6115</v>
      </c>
      <c r="AN88" s="695">
        <v>6115</v>
      </c>
      <c r="AO88" s="696"/>
      <c r="AP88" s="696"/>
      <c r="AQ88" s="697"/>
      <c r="AR88" s="697"/>
      <c r="AS88" s="695">
        <v>6115</v>
      </c>
      <c r="AT88" s="695">
        <v>6115</v>
      </c>
      <c r="AU88" s="660"/>
      <c r="AV88" s="660"/>
      <c r="AW88" s="147"/>
      <c r="AX88" s="119"/>
    </row>
    <row r="89" spans="1:50" ht="31.5" x14ac:dyDescent="0.25">
      <c r="A89" s="622" t="s">
        <v>730</v>
      </c>
      <c r="B89" s="470" t="s">
        <v>735</v>
      </c>
      <c r="C89" s="471"/>
      <c r="D89" s="471"/>
      <c r="E89" s="471"/>
      <c r="F89" s="450"/>
      <c r="G89" s="680">
        <v>6731</v>
      </c>
      <c r="H89" s="680">
        <v>6731</v>
      </c>
      <c r="I89" s="670"/>
      <c r="J89" s="670"/>
      <c r="K89" s="670"/>
      <c r="L89" s="670"/>
      <c r="M89" s="670"/>
      <c r="N89" s="670"/>
      <c r="O89" s="670"/>
      <c r="P89" s="670"/>
      <c r="Q89" s="670"/>
      <c r="R89" s="670"/>
      <c r="S89" s="670"/>
      <c r="T89" s="670"/>
      <c r="U89" s="670"/>
      <c r="V89" s="670"/>
      <c r="W89" s="670"/>
      <c r="X89" s="680">
        <v>37709.834000000003</v>
      </c>
      <c r="Y89" s="680">
        <v>37450</v>
      </c>
      <c r="Z89" s="680">
        <v>0</v>
      </c>
      <c r="AA89" s="680">
        <v>0</v>
      </c>
      <c r="AB89" s="680">
        <v>0</v>
      </c>
      <c r="AC89" s="680">
        <v>0</v>
      </c>
      <c r="AD89" s="680">
        <v>0</v>
      </c>
      <c r="AE89" s="680">
        <v>0</v>
      </c>
      <c r="AF89" s="680">
        <v>0</v>
      </c>
      <c r="AG89" s="680">
        <v>0</v>
      </c>
      <c r="AH89" s="680">
        <v>0</v>
      </c>
      <c r="AI89" s="680">
        <v>0</v>
      </c>
      <c r="AJ89" s="680">
        <v>0</v>
      </c>
      <c r="AK89" s="680">
        <v>4747.3130000000001</v>
      </c>
      <c r="AL89" s="680">
        <v>3596.4790000000003</v>
      </c>
      <c r="AM89" s="698">
        <f t="shared" ref="AM89:AN89" si="12">+SUM(AM90:AM121)</f>
        <v>38901</v>
      </c>
      <c r="AN89" s="698">
        <f t="shared" si="12"/>
        <v>38601</v>
      </c>
      <c r="AO89" s="699">
        <v>0</v>
      </c>
      <c r="AP89" s="699">
        <v>0</v>
      </c>
      <c r="AQ89" s="699"/>
      <c r="AR89" s="699"/>
      <c r="AS89" s="698">
        <f t="shared" ref="AS89:AT89" si="13">+SUM(AS90:AS121)</f>
        <v>38901</v>
      </c>
      <c r="AT89" s="698">
        <f t="shared" si="13"/>
        <v>38601</v>
      </c>
      <c r="AU89" s="660"/>
      <c r="AV89" s="660"/>
      <c r="AW89" s="147"/>
      <c r="AX89" s="119"/>
    </row>
    <row r="90" spans="1:50" ht="31.5" x14ac:dyDescent="0.25">
      <c r="A90" s="700">
        <v>1</v>
      </c>
      <c r="B90" s="449" t="s">
        <v>1744</v>
      </c>
      <c r="C90" s="450" t="s">
        <v>51</v>
      </c>
      <c r="D90" s="450" t="s">
        <v>818</v>
      </c>
      <c r="E90" s="450" t="s">
        <v>1745</v>
      </c>
      <c r="F90" s="450"/>
      <c r="G90" s="669">
        <v>1500</v>
      </c>
      <c r="H90" s="669">
        <v>1500</v>
      </c>
      <c r="I90" s="670"/>
      <c r="J90" s="670"/>
      <c r="K90" s="670"/>
      <c r="L90" s="670"/>
      <c r="M90" s="670"/>
      <c r="N90" s="670"/>
      <c r="O90" s="670"/>
      <c r="P90" s="670"/>
      <c r="Q90" s="670"/>
      <c r="R90" s="670"/>
      <c r="S90" s="670"/>
      <c r="T90" s="670"/>
      <c r="U90" s="670"/>
      <c r="V90" s="670"/>
      <c r="W90" s="670"/>
      <c r="X90" s="671">
        <v>1500</v>
      </c>
      <c r="Y90" s="671">
        <v>1500</v>
      </c>
      <c r="Z90" s="673"/>
      <c r="AA90" s="673"/>
      <c r="AB90" s="671"/>
      <c r="AC90" s="669"/>
      <c r="AD90" s="669"/>
      <c r="AE90" s="669"/>
      <c r="AF90" s="669"/>
      <c r="AG90" s="669"/>
      <c r="AH90" s="669"/>
      <c r="AI90" s="669"/>
      <c r="AJ90" s="672"/>
      <c r="AK90" s="673">
        <v>0</v>
      </c>
      <c r="AL90" s="673">
        <v>0</v>
      </c>
      <c r="AM90" s="701">
        <v>1500</v>
      </c>
      <c r="AN90" s="701">
        <v>1500</v>
      </c>
      <c r="AO90" s="696"/>
      <c r="AP90" s="696"/>
      <c r="AQ90" s="697"/>
      <c r="AR90" s="697"/>
      <c r="AS90" s="702">
        <v>1500</v>
      </c>
      <c r="AT90" s="702">
        <v>1500</v>
      </c>
      <c r="AU90" s="660"/>
      <c r="AV90" s="660"/>
      <c r="AW90" s="147"/>
      <c r="AX90" s="119"/>
    </row>
    <row r="91" spans="1:50" ht="31.5" x14ac:dyDescent="0.25">
      <c r="A91" s="700">
        <v>2</v>
      </c>
      <c r="B91" s="449" t="s">
        <v>1746</v>
      </c>
      <c r="C91" s="450" t="s">
        <v>49</v>
      </c>
      <c r="D91" s="450" t="s">
        <v>1747</v>
      </c>
      <c r="E91" s="450" t="s">
        <v>1745</v>
      </c>
      <c r="F91" s="450"/>
      <c r="G91" s="669">
        <v>1500</v>
      </c>
      <c r="H91" s="669">
        <v>1500</v>
      </c>
      <c r="I91" s="670"/>
      <c r="J91" s="670"/>
      <c r="K91" s="670"/>
      <c r="L91" s="670"/>
      <c r="M91" s="670"/>
      <c r="N91" s="670"/>
      <c r="O91" s="670"/>
      <c r="P91" s="670"/>
      <c r="Q91" s="670"/>
      <c r="R91" s="670"/>
      <c r="S91" s="670"/>
      <c r="T91" s="670"/>
      <c r="U91" s="670"/>
      <c r="V91" s="670"/>
      <c r="W91" s="670"/>
      <c r="X91" s="671">
        <v>1500</v>
      </c>
      <c r="Y91" s="671">
        <v>1500</v>
      </c>
      <c r="Z91" s="673"/>
      <c r="AA91" s="673"/>
      <c r="AB91" s="671"/>
      <c r="AC91" s="669"/>
      <c r="AD91" s="669"/>
      <c r="AE91" s="669"/>
      <c r="AF91" s="669"/>
      <c r="AG91" s="669"/>
      <c r="AH91" s="669"/>
      <c r="AI91" s="669"/>
      <c r="AJ91" s="672"/>
      <c r="AK91" s="673">
        <v>0</v>
      </c>
      <c r="AL91" s="673">
        <v>0</v>
      </c>
      <c r="AM91" s="701">
        <v>1500</v>
      </c>
      <c r="AN91" s="701">
        <v>1500</v>
      </c>
      <c r="AO91" s="696"/>
      <c r="AP91" s="696"/>
      <c r="AQ91" s="697"/>
      <c r="AR91" s="697"/>
      <c r="AS91" s="702">
        <v>1500</v>
      </c>
      <c r="AT91" s="702">
        <v>1500</v>
      </c>
      <c r="AU91" s="660"/>
      <c r="AV91" s="660"/>
      <c r="AW91" s="147"/>
      <c r="AX91" s="119"/>
    </row>
    <row r="92" spans="1:50" ht="47.25" x14ac:dyDescent="0.25">
      <c r="A92" s="700">
        <v>3</v>
      </c>
      <c r="B92" s="449" t="s">
        <v>1748</v>
      </c>
      <c r="C92" s="450" t="s">
        <v>48</v>
      </c>
      <c r="D92" s="450" t="s">
        <v>1749</v>
      </c>
      <c r="E92" s="450" t="s">
        <v>1745</v>
      </c>
      <c r="F92" s="450"/>
      <c r="G92" s="669">
        <v>1300</v>
      </c>
      <c r="H92" s="669">
        <v>1300</v>
      </c>
      <c r="I92" s="670"/>
      <c r="J92" s="670"/>
      <c r="K92" s="670"/>
      <c r="L92" s="670"/>
      <c r="M92" s="670"/>
      <c r="N92" s="670"/>
      <c r="O92" s="670"/>
      <c r="P92" s="670"/>
      <c r="Q92" s="670"/>
      <c r="R92" s="670"/>
      <c r="S92" s="670"/>
      <c r="T92" s="670"/>
      <c r="U92" s="670"/>
      <c r="V92" s="670"/>
      <c r="W92" s="670"/>
      <c r="X92" s="671">
        <v>1300</v>
      </c>
      <c r="Y92" s="671">
        <v>1300</v>
      </c>
      <c r="Z92" s="673"/>
      <c r="AA92" s="673"/>
      <c r="AB92" s="671"/>
      <c r="AC92" s="669"/>
      <c r="AD92" s="669"/>
      <c r="AE92" s="669"/>
      <c r="AF92" s="669"/>
      <c r="AG92" s="669"/>
      <c r="AH92" s="669"/>
      <c r="AI92" s="669"/>
      <c r="AJ92" s="672"/>
      <c r="AK92" s="673">
        <v>0</v>
      </c>
      <c r="AL92" s="673">
        <v>0</v>
      </c>
      <c r="AM92" s="701">
        <v>1300</v>
      </c>
      <c r="AN92" s="701">
        <v>1300</v>
      </c>
      <c r="AO92" s="696"/>
      <c r="AP92" s="696"/>
      <c r="AQ92" s="697"/>
      <c r="AR92" s="697"/>
      <c r="AS92" s="702">
        <v>1300</v>
      </c>
      <c r="AT92" s="702">
        <v>1300</v>
      </c>
      <c r="AU92" s="660"/>
      <c r="AV92" s="660"/>
      <c r="AW92" s="147"/>
      <c r="AX92" s="119"/>
    </row>
    <row r="93" spans="1:50" ht="47.25" x14ac:dyDescent="0.25">
      <c r="A93" s="700">
        <v>4</v>
      </c>
      <c r="B93" s="449" t="s">
        <v>1750</v>
      </c>
      <c r="C93" s="450" t="s">
        <v>42</v>
      </c>
      <c r="D93" s="450" t="s">
        <v>1751</v>
      </c>
      <c r="E93" s="450" t="s">
        <v>1745</v>
      </c>
      <c r="F93" s="450"/>
      <c r="G93" s="669">
        <v>2431</v>
      </c>
      <c r="H93" s="669">
        <v>2431</v>
      </c>
      <c r="I93" s="670"/>
      <c r="J93" s="670"/>
      <c r="K93" s="670"/>
      <c r="L93" s="670"/>
      <c r="M93" s="670"/>
      <c r="N93" s="670"/>
      <c r="O93" s="670"/>
      <c r="P93" s="670"/>
      <c r="Q93" s="670"/>
      <c r="R93" s="670"/>
      <c r="S93" s="670"/>
      <c r="T93" s="670"/>
      <c r="U93" s="670"/>
      <c r="V93" s="670"/>
      <c r="W93" s="670"/>
      <c r="X93" s="671">
        <v>2431</v>
      </c>
      <c r="Y93" s="671">
        <v>2431</v>
      </c>
      <c r="Z93" s="673"/>
      <c r="AA93" s="673"/>
      <c r="AB93" s="671"/>
      <c r="AC93" s="669"/>
      <c r="AD93" s="669"/>
      <c r="AE93" s="669"/>
      <c r="AF93" s="669"/>
      <c r="AG93" s="669"/>
      <c r="AH93" s="669"/>
      <c r="AI93" s="669"/>
      <c r="AJ93" s="672"/>
      <c r="AK93" s="673">
        <v>0</v>
      </c>
      <c r="AL93" s="673">
        <v>0</v>
      </c>
      <c r="AM93" s="701">
        <v>2431</v>
      </c>
      <c r="AN93" s="701">
        <v>2431</v>
      </c>
      <c r="AO93" s="696"/>
      <c r="AP93" s="696"/>
      <c r="AQ93" s="697"/>
      <c r="AR93" s="697"/>
      <c r="AS93" s="702">
        <v>2431</v>
      </c>
      <c r="AT93" s="702">
        <v>2431</v>
      </c>
      <c r="AU93" s="660"/>
      <c r="AV93" s="660"/>
      <c r="AW93" s="147"/>
      <c r="AX93" s="119"/>
    </row>
    <row r="94" spans="1:50" ht="31.5" x14ac:dyDescent="0.25">
      <c r="A94" s="700">
        <v>5</v>
      </c>
      <c r="B94" s="449" t="s">
        <v>1752</v>
      </c>
      <c r="C94" s="450" t="s">
        <v>751</v>
      </c>
      <c r="D94" s="450" t="s">
        <v>1003</v>
      </c>
      <c r="E94" s="450" t="s">
        <v>759</v>
      </c>
      <c r="F94" s="450"/>
      <c r="G94" s="673"/>
      <c r="H94" s="673"/>
      <c r="I94" s="670"/>
      <c r="J94" s="670"/>
      <c r="K94" s="670"/>
      <c r="L94" s="670"/>
      <c r="M94" s="670"/>
      <c r="N94" s="670"/>
      <c r="O94" s="670"/>
      <c r="P94" s="670"/>
      <c r="Q94" s="670"/>
      <c r="R94" s="670"/>
      <c r="S94" s="670"/>
      <c r="T94" s="670"/>
      <c r="U94" s="670"/>
      <c r="V94" s="670"/>
      <c r="W94" s="670"/>
      <c r="X94" s="671">
        <v>1200</v>
      </c>
      <c r="Y94" s="671">
        <v>1180</v>
      </c>
      <c r="Z94" s="673"/>
      <c r="AA94" s="673"/>
      <c r="AB94" s="671"/>
      <c r="AC94" s="669"/>
      <c r="AD94" s="669"/>
      <c r="AE94" s="669"/>
      <c r="AF94" s="669"/>
      <c r="AG94" s="669"/>
      <c r="AH94" s="669"/>
      <c r="AI94" s="669"/>
      <c r="AJ94" s="672"/>
      <c r="AK94" s="673">
        <v>0</v>
      </c>
      <c r="AL94" s="673">
        <v>0</v>
      </c>
      <c r="AM94" s="701">
        <v>1200</v>
      </c>
      <c r="AN94" s="701">
        <v>1180</v>
      </c>
      <c r="AO94" s="696"/>
      <c r="AP94" s="696"/>
      <c r="AQ94" s="697"/>
      <c r="AR94" s="697"/>
      <c r="AS94" s="702">
        <v>1200</v>
      </c>
      <c r="AT94" s="702">
        <v>1180</v>
      </c>
      <c r="AU94" s="660"/>
      <c r="AV94" s="660"/>
      <c r="AW94" s="147"/>
      <c r="AX94" s="119"/>
    </row>
    <row r="95" spans="1:50" ht="31.5" x14ac:dyDescent="0.25">
      <c r="A95" s="700">
        <v>6</v>
      </c>
      <c r="B95" s="449" t="s">
        <v>1753</v>
      </c>
      <c r="C95" s="450" t="s">
        <v>47</v>
      </c>
      <c r="D95" s="450" t="s">
        <v>69</v>
      </c>
      <c r="E95" s="450" t="s">
        <v>759</v>
      </c>
      <c r="F95" s="450"/>
      <c r="G95" s="673"/>
      <c r="H95" s="673"/>
      <c r="I95" s="670"/>
      <c r="J95" s="670"/>
      <c r="K95" s="670"/>
      <c r="L95" s="670"/>
      <c r="M95" s="670"/>
      <c r="N95" s="670"/>
      <c r="O95" s="670"/>
      <c r="P95" s="670"/>
      <c r="Q95" s="670"/>
      <c r="R95" s="670"/>
      <c r="S95" s="670"/>
      <c r="T95" s="670"/>
      <c r="U95" s="670"/>
      <c r="V95" s="670"/>
      <c r="W95" s="670"/>
      <c r="X95" s="671">
        <v>3000</v>
      </c>
      <c r="Y95" s="671">
        <v>2960</v>
      </c>
      <c r="Z95" s="673"/>
      <c r="AA95" s="673"/>
      <c r="AB95" s="671"/>
      <c r="AC95" s="669"/>
      <c r="AD95" s="669"/>
      <c r="AE95" s="669"/>
      <c r="AF95" s="669"/>
      <c r="AG95" s="669"/>
      <c r="AH95" s="669"/>
      <c r="AI95" s="669"/>
      <c r="AJ95" s="672"/>
      <c r="AK95" s="673">
        <v>0</v>
      </c>
      <c r="AL95" s="673">
        <v>0</v>
      </c>
      <c r="AM95" s="701">
        <v>3000</v>
      </c>
      <c r="AN95" s="701">
        <v>2960</v>
      </c>
      <c r="AO95" s="696"/>
      <c r="AP95" s="696"/>
      <c r="AQ95" s="697"/>
      <c r="AR95" s="697"/>
      <c r="AS95" s="702">
        <v>3000</v>
      </c>
      <c r="AT95" s="702">
        <v>2960</v>
      </c>
      <c r="AU95" s="660"/>
      <c r="AV95" s="660"/>
      <c r="AW95" s="147"/>
      <c r="AX95" s="119"/>
    </row>
    <row r="96" spans="1:50" ht="31.5" x14ac:dyDescent="0.25">
      <c r="A96" s="700">
        <v>7</v>
      </c>
      <c r="B96" s="449" t="s">
        <v>1754</v>
      </c>
      <c r="C96" s="450" t="s">
        <v>51</v>
      </c>
      <c r="D96" s="450" t="s">
        <v>1755</v>
      </c>
      <c r="E96" s="450" t="s">
        <v>759</v>
      </c>
      <c r="F96" s="450"/>
      <c r="G96" s="673"/>
      <c r="H96" s="673"/>
      <c r="I96" s="670"/>
      <c r="J96" s="670"/>
      <c r="K96" s="670"/>
      <c r="L96" s="670"/>
      <c r="M96" s="670"/>
      <c r="N96" s="670"/>
      <c r="O96" s="670"/>
      <c r="P96" s="670"/>
      <c r="Q96" s="670"/>
      <c r="R96" s="670"/>
      <c r="S96" s="670"/>
      <c r="T96" s="670"/>
      <c r="U96" s="670"/>
      <c r="V96" s="670"/>
      <c r="W96" s="670"/>
      <c r="X96" s="671">
        <v>1500</v>
      </c>
      <c r="Y96" s="671">
        <v>1480</v>
      </c>
      <c r="Z96" s="673"/>
      <c r="AA96" s="673"/>
      <c r="AB96" s="671"/>
      <c r="AC96" s="669"/>
      <c r="AD96" s="669"/>
      <c r="AE96" s="669"/>
      <c r="AF96" s="669"/>
      <c r="AG96" s="669"/>
      <c r="AH96" s="669"/>
      <c r="AI96" s="669"/>
      <c r="AJ96" s="672"/>
      <c r="AK96" s="673">
        <v>0</v>
      </c>
      <c r="AL96" s="673">
        <v>0</v>
      </c>
      <c r="AM96" s="701">
        <v>1500</v>
      </c>
      <c r="AN96" s="701">
        <v>1480</v>
      </c>
      <c r="AO96" s="696"/>
      <c r="AP96" s="696"/>
      <c r="AQ96" s="697"/>
      <c r="AR96" s="697"/>
      <c r="AS96" s="702">
        <v>1500</v>
      </c>
      <c r="AT96" s="702">
        <v>1480</v>
      </c>
      <c r="AU96" s="660"/>
      <c r="AV96" s="660"/>
      <c r="AW96" s="147"/>
      <c r="AX96" s="119"/>
    </row>
    <row r="97" spans="1:50" ht="47.25" x14ac:dyDescent="0.25">
      <c r="A97" s="700">
        <v>8</v>
      </c>
      <c r="B97" s="449" t="s">
        <v>1756</v>
      </c>
      <c r="C97" s="450" t="s">
        <v>48</v>
      </c>
      <c r="D97" s="450" t="s">
        <v>1757</v>
      </c>
      <c r="E97" s="450" t="s">
        <v>759</v>
      </c>
      <c r="F97" s="450"/>
      <c r="G97" s="673"/>
      <c r="H97" s="673"/>
      <c r="I97" s="670"/>
      <c r="J97" s="670"/>
      <c r="K97" s="670"/>
      <c r="L97" s="670"/>
      <c r="M97" s="670"/>
      <c r="N97" s="670"/>
      <c r="O97" s="670"/>
      <c r="P97" s="670"/>
      <c r="Q97" s="670"/>
      <c r="R97" s="670"/>
      <c r="S97" s="670"/>
      <c r="T97" s="670"/>
      <c r="U97" s="670"/>
      <c r="V97" s="670"/>
      <c r="W97" s="670"/>
      <c r="X97" s="671">
        <v>1000</v>
      </c>
      <c r="Y97" s="671">
        <v>980</v>
      </c>
      <c r="Z97" s="673"/>
      <c r="AA97" s="673"/>
      <c r="AB97" s="671"/>
      <c r="AC97" s="669"/>
      <c r="AD97" s="669"/>
      <c r="AE97" s="669"/>
      <c r="AF97" s="669"/>
      <c r="AG97" s="669"/>
      <c r="AH97" s="669"/>
      <c r="AI97" s="669"/>
      <c r="AJ97" s="672"/>
      <c r="AK97" s="673">
        <v>0</v>
      </c>
      <c r="AL97" s="673">
        <v>0</v>
      </c>
      <c r="AM97" s="701">
        <v>1000</v>
      </c>
      <c r="AN97" s="701">
        <v>980</v>
      </c>
      <c r="AO97" s="696"/>
      <c r="AP97" s="696"/>
      <c r="AQ97" s="697"/>
      <c r="AR97" s="697"/>
      <c r="AS97" s="702">
        <v>1000</v>
      </c>
      <c r="AT97" s="702">
        <v>980</v>
      </c>
      <c r="AU97" s="660"/>
      <c r="AV97" s="660"/>
      <c r="AW97" s="147"/>
      <c r="AX97" s="119"/>
    </row>
    <row r="98" spans="1:50" ht="31.5" x14ac:dyDescent="0.25">
      <c r="A98" s="700">
        <v>9</v>
      </c>
      <c r="B98" s="449" t="s">
        <v>1758</v>
      </c>
      <c r="C98" s="450" t="s">
        <v>44</v>
      </c>
      <c r="D98" s="450" t="s">
        <v>870</v>
      </c>
      <c r="E98" s="450" t="s">
        <v>50</v>
      </c>
      <c r="F98" s="450"/>
      <c r="G98" s="673"/>
      <c r="H98" s="673"/>
      <c r="I98" s="670"/>
      <c r="J98" s="670"/>
      <c r="K98" s="670"/>
      <c r="L98" s="670"/>
      <c r="M98" s="670"/>
      <c r="N98" s="670"/>
      <c r="O98" s="670"/>
      <c r="P98" s="670"/>
      <c r="Q98" s="670"/>
      <c r="R98" s="670"/>
      <c r="S98" s="670"/>
      <c r="T98" s="670"/>
      <c r="U98" s="670"/>
      <c r="V98" s="670"/>
      <c r="W98" s="670"/>
      <c r="X98" s="671">
        <v>1500</v>
      </c>
      <c r="Y98" s="671">
        <v>1490</v>
      </c>
      <c r="Z98" s="673"/>
      <c r="AA98" s="673"/>
      <c r="AB98" s="671"/>
      <c r="AC98" s="669"/>
      <c r="AD98" s="669"/>
      <c r="AE98" s="669"/>
      <c r="AF98" s="669"/>
      <c r="AG98" s="669"/>
      <c r="AH98" s="669"/>
      <c r="AI98" s="669"/>
      <c r="AJ98" s="672"/>
      <c r="AK98" s="673">
        <v>0</v>
      </c>
      <c r="AL98" s="673">
        <v>0</v>
      </c>
      <c r="AM98" s="701">
        <v>1500</v>
      </c>
      <c r="AN98" s="701">
        <v>1490</v>
      </c>
      <c r="AO98" s="696"/>
      <c r="AP98" s="696"/>
      <c r="AQ98" s="697"/>
      <c r="AR98" s="697"/>
      <c r="AS98" s="702">
        <v>1500</v>
      </c>
      <c r="AT98" s="702">
        <v>1490</v>
      </c>
      <c r="AU98" s="660"/>
      <c r="AV98" s="660"/>
      <c r="AW98" s="147"/>
      <c r="AX98" s="119"/>
    </row>
    <row r="99" spans="1:50" ht="31.5" x14ac:dyDescent="0.25">
      <c r="A99" s="700">
        <v>10</v>
      </c>
      <c r="B99" s="449" t="s">
        <v>1759</v>
      </c>
      <c r="C99" s="450" t="s">
        <v>49</v>
      </c>
      <c r="D99" s="450" t="s">
        <v>800</v>
      </c>
      <c r="E99" s="450" t="s">
        <v>50</v>
      </c>
      <c r="F99" s="450"/>
      <c r="G99" s="673"/>
      <c r="H99" s="673"/>
      <c r="I99" s="670"/>
      <c r="J99" s="670"/>
      <c r="K99" s="670"/>
      <c r="L99" s="670"/>
      <c r="M99" s="670"/>
      <c r="N99" s="670"/>
      <c r="O99" s="670"/>
      <c r="P99" s="670"/>
      <c r="Q99" s="670"/>
      <c r="R99" s="670"/>
      <c r="S99" s="670"/>
      <c r="T99" s="670"/>
      <c r="U99" s="670"/>
      <c r="V99" s="670"/>
      <c r="W99" s="670"/>
      <c r="X99" s="671">
        <v>1500</v>
      </c>
      <c r="Y99" s="671">
        <v>1490</v>
      </c>
      <c r="Z99" s="673"/>
      <c r="AA99" s="673"/>
      <c r="AB99" s="671"/>
      <c r="AC99" s="669"/>
      <c r="AD99" s="669"/>
      <c r="AE99" s="669"/>
      <c r="AF99" s="669"/>
      <c r="AG99" s="669"/>
      <c r="AH99" s="669"/>
      <c r="AI99" s="669"/>
      <c r="AJ99" s="672"/>
      <c r="AK99" s="673">
        <v>0</v>
      </c>
      <c r="AL99" s="673">
        <v>0</v>
      </c>
      <c r="AM99" s="701">
        <v>1500</v>
      </c>
      <c r="AN99" s="701">
        <v>1490</v>
      </c>
      <c r="AO99" s="696"/>
      <c r="AP99" s="696"/>
      <c r="AQ99" s="697"/>
      <c r="AR99" s="697"/>
      <c r="AS99" s="702">
        <v>1500</v>
      </c>
      <c r="AT99" s="702">
        <v>1490</v>
      </c>
      <c r="AU99" s="660"/>
      <c r="AV99" s="660"/>
      <c r="AW99" s="147"/>
      <c r="AX99" s="119"/>
    </row>
    <row r="100" spans="1:50" ht="31.5" x14ac:dyDescent="0.25">
      <c r="A100" s="700">
        <v>11</v>
      </c>
      <c r="B100" s="449" t="s">
        <v>1760</v>
      </c>
      <c r="C100" s="450" t="s">
        <v>47</v>
      </c>
      <c r="D100" s="450" t="s">
        <v>1003</v>
      </c>
      <c r="E100" s="450" t="s">
        <v>50</v>
      </c>
      <c r="F100" s="450"/>
      <c r="G100" s="673"/>
      <c r="H100" s="673"/>
      <c r="I100" s="670"/>
      <c r="J100" s="670"/>
      <c r="K100" s="670"/>
      <c r="L100" s="670"/>
      <c r="M100" s="670"/>
      <c r="N100" s="670"/>
      <c r="O100" s="670"/>
      <c r="P100" s="670"/>
      <c r="Q100" s="670"/>
      <c r="R100" s="670"/>
      <c r="S100" s="670"/>
      <c r="T100" s="670"/>
      <c r="U100" s="670"/>
      <c r="V100" s="670"/>
      <c r="W100" s="670"/>
      <c r="X100" s="671">
        <v>1500</v>
      </c>
      <c r="Y100" s="671">
        <v>1490</v>
      </c>
      <c r="Z100" s="673"/>
      <c r="AA100" s="673"/>
      <c r="AB100" s="671"/>
      <c r="AC100" s="669"/>
      <c r="AD100" s="669"/>
      <c r="AE100" s="669"/>
      <c r="AF100" s="669"/>
      <c r="AG100" s="669"/>
      <c r="AH100" s="669"/>
      <c r="AI100" s="669"/>
      <c r="AJ100" s="672"/>
      <c r="AK100" s="673">
        <v>0</v>
      </c>
      <c r="AL100" s="673">
        <v>0</v>
      </c>
      <c r="AM100" s="701">
        <v>1500</v>
      </c>
      <c r="AN100" s="701">
        <v>1490</v>
      </c>
      <c r="AO100" s="696"/>
      <c r="AP100" s="696"/>
      <c r="AQ100" s="697"/>
      <c r="AR100" s="697"/>
      <c r="AS100" s="702">
        <v>1500</v>
      </c>
      <c r="AT100" s="702">
        <v>1490</v>
      </c>
      <c r="AU100" s="660"/>
      <c r="AV100" s="660"/>
      <c r="AW100" s="147"/>
      <c r="AX100" s="119"/>
    </row>
    <row r="101" spans="1:50" ht="47.25" x14ac:dyDescent="0.25">
      <c r="A101" s="700">
        <v>12</v>
      </c>
      <c r="B101" s="449" t="s">
        <v>1761</v>
      </c>
      <c r="C101" s="450" t="s">
        <v>42</v>
      </c>
      <c r="D101" s="450" t="s">
        <v>1762</v>
      </c>
      <c r="E101" s="450" t="s">
        <v>50</v>
      </c>
      <c r="F101" s="450"/>
      <c r="G101" s="673"/>
      <c r="H101" s="673"/>
      <c r="I101" s="670"/>
      <c r="J101" s="670"/>
      <c r="K101" s="670"/>
      <c r="L101" s="670"/>
      <c r="M101" s="670"/>
      <c r="N101" s="670"/>
      <c r="O101" s="670"/>
      <c r="P101" s="670"/>
      <c r="Q101" s="670"/>
      <c r="R101" s="670"/>
      <c r="S101" s="670"/>
      <c r="T101" s="670"/>
      <c r="U101" s="670"/>
      <c r="V101" s="670"/>
      <c r="W101" s="670"/>
      <c r="X101" s="671">
        <v>1300</v>
      </c>
      <c r="Y101" s="671">
        <v>1290</v>
      </c>
      <c r="Z101" s="673"/>
      <c r="AA101" s="673"/>
      <c r="AB101" s="671"/>
      <c r="AC101" s="669"/>
      <c r="AD101" s="669"/>
      <c r="AE101" s="669"/>
      <c r="AF101" s="669"/>
      <c r="AG101" s="669"/>
      <c r="AH101" s="669"/>
      <c r="AI101" s="669"/>
      <c r="AJ101" s="672"/>
      <c r="AK101" s="673">
        <v>0</v>
      </c>
      <c r="AL101" s="673">
        <v>0</v>
      </c>
      <c r="AM101" s="701">
        <v>1300</v>
      </c>
      <c r="AN101" s="701">
        <v>1290</v>
      </c>
      <c r="AO101" s="696"/>
      <c r="AP101" s="696"/>
      <c r="AQ101" s="697"/>
      <c r="AR101" s="697"/>
      <c r="AS101" s="702">
        <v>1300</v>
      </c>
      <c r="AT101" s="702">
        <v>1290</v>
      </c>
      <c r="AU101" s="660"/>
      <c r="AV101" s="660"/>
      <c r="AW101" s="147"/>
      <c r="AX101" s="119"/>
    </row>
    <row r="102" spans="1:50" ht="31.5" x14ac:dyDescent="0.25">
      <c r="A102" s="700">
        <v>13</v>
      </c>
      <c r="B102" s="449" t="s">
        <v>1763</v>
      </c>
      <c r="C102" s="450" t="s">
        <v>41</v>
      </c>
      <c r="D102" s="450"/>
      <c r="E102" s="450" t="s">
        <v>50</v>
      </c>
      <c r="F102" s="450"/>
      <c r="G102" s="673"/>
      <c r="H102" s="673"/>
      <c r="I102" s="670"/>
      <c r="J102" s="670"/>
      <c r="K102" s="670"/>
      <c r="L102" s="670"/>
      <c r="M102" s="670"/>
      <c r="N102" s="670"/>
      <c r="O102" s="670"/>
      <c r="P102" s="670"/>
      <c r="Q102" s="670"/>
      <c r="R102" s="670"/>
      <c r="S102" s="670"/>
      <c r="T102" s="670"/>
      <c r="U102" s="670"/>
      <c r="V102" s="670"/>
      <c r="W102" s="670"/>
      <c r="X102" s="671">
        <v>1460</v>
      </c>
      <c r="Y102" s="671">
        <v>1450</v>
      </c>
      <c r="Z102" s="673"/>
      <c r="AA102" s="673"/>
      <c r="AB102" s="671"/>
      <c r="AC102" s="669"/>
      <c r="AD102" s="669"/>
      <c r="AE102" s="669"/>
      <c r="AF102" s="669"/>
      <c r="AG102" s="669"/>
      <c r="AH102" s="669"/>
      <c r="AI102" s="669"/>
      <c r="AJ102" s="672"/>
      <c r="AK102" s="673">
        <v>0</v>
      </c>
      <c r="AL102" s="673">
        <v>0</v>
      </c>
      <c r="AM102" s="701">
        <v>1460</v>
      </c>
      <c r="AN102" s="701">
        <v>1450</v>
      </c>
      <c r="AO102" s="696"/>
      <c r="AP102" s="696"/>
      <c r="AQ102" s="697"/>
      <c r="AR102" s="697"/>
      <c r="AS102" s="702">
        <v>1460</v>
      </c>
      <c r="AT102" s="702">
        <v>1450</v>
      </c>
      <c r="AU102" s="660"/>
      <c r="AV102" s="660"/>
      <c r="AW102" s="147"/>
      <c r="AX102" s="119"/>
    </row>
    <row r="103" spans="1:50" ht="31.5" x14ac:dyDescent="0.25">
      <c r="A103" s="700">
        <v>14</v>
      </c>
      <c r="B103" s="449" t="s">
        <v>1764</v>
      </c>
      <c r="C103" s="450" t="s">
        <v>41</v>
      </c>
      <c r="D103" s="450" t="s">
        <v>991</v>
      </c>
      <c r="E103" s="450" t="s">
        <v>50</v>
      </c>
      <c r="F103" s="450"/>
      <c r="G103" s="673"/>
      <c r="H103" s="673"/>
      <c r="I103" s="670"/>
      <c r="J103" s="670"/>
      <c r="K103" s="670"/>
      <c r="L103" s="670"/>
      <c r="M103" s="670"/>
      <c r="N103" s="670"/>
      <c r="O103" s="670"/>
      <c r="P103" s="670"/>
      <c r="Q103" s="670"/>
      <c r="R103" s="670"/>
      <c r="S103" s="670"/>
      <c r="T103" s="670"/>
      <c r="U103" s="670"/>
      <c r="V103" s="670"/>
      <c r="W103" s="670"/>
      <c r="X103" s="671">
        <v>1300</v>
      </c>
      <c r="Y103" s="671">
        <v>1290</v>
      </c>
      <c r="Z103" s="673"/>
      <c r="AA103" s="673"/>
      <c r="AB103" s="671"/>
      <c r="AC103" s="669"/>
      <c r="AD103" s="669"/>
      <c r="AE103" s="669"/>
      <c r="AF103" s="669"/>
      <c r="AG103" s="669"/>
      <c r="AH103" s="669"/>
      <c r="AI103" s="669"/>
      <c r="AJ103" s="672"/>
      <c r="AK103" s="673"/>
      <c r="AL103" s="673">
        <v>147.47900000000004</v>
      </c>
      <c r="AM103" s="701">
        <v>1153</v>
      </c>
      <c r="AN103" s="701">
        <v>1143</v>
      </c>
      <c r="AO103" s="696"/>
      <c r="AP103" s="696"/>
      <c r="AQ103" s="697"/>
      <c r="AR103" s="697"/>
      <c r="AS103" s="701">
        <v>1153</v>
      </c>
      <c r="AT103" s="701">
        <v>1143</v>
      </c>
      <c r="AU103" s="660"/>
      <c r="AV103" s="660"/>
      <c r="AW103" s="147"/>
      <c r="AX103" s="119"/>
    </row>
    <row r="104" spans="1:50" ht="31.5" x14ac:dyDescent="0.25">
      <c r="A104" s="700">
        <v>15</v>
      </c>
      <c r="B104" s="449" t="s">
        <v>1765</v>
      </c>
      <c r="C104" s="450" t="s">
        <v>41</v>
      </c>
      <c r="D104" s="450" t="s">
        <v>818</v>
      </c>
      <c r="E104" s="450" t="s">
        <v>50</v>
      </c>
      <c r="F104" s="450" t="s">
        <v>1766</v>
      </c>
      <c r="G104" s="673"/>
      <c r="H104" s="673"/>
      <c r="I104" s="670"/>
      <c r="J104" s="670"/>
      <c r="K104" s="670"/>
      <c r="L104" s="670"/>
      <c r="M104" s="670"/>
      <c r="N104" s="670"/>
      <c r="O104" s="670"/>
      <c r="P104" s="670"/>
      <c r="Q104" s="670"/>
      <c r="R104" s="670"/>
      <c r="S104" s="670"/>
      <c r="T104" s="670"/>
      <c r="U104" s="670"/>
      <c r="V104" s="670"/>
      <c r="W104" s="670"/>
      <c r="X104" s="671">
        <v>1300</v>
      </c>
      <c r="Y104" s="671">
        <v>1290</v>
      </c>
      <c r="Z104" s="673"/>
      <c r="AA104" s="673"/>
      <c r="AB104" s="671"/>
      <c r="AC104" s="669"/>
      <c r="AD104" s="669"/>
      <c r="AE104" s="669"/>
      <c r="AF104" s="669"/>
      <c r="AG104" s="669"/>
      <c r="AH104" s="669"/>
      <c r="AI104" s="669"/>
      <c r="AJ104" s="672"/>
      <c r="AK104" s="673">
        <v>0</v>
      </c>
      <c r="AL104" s="673">
        <v>0</v>
      </c>
      <c r="AM104" s="701">
        <v>1300</v>
      </c>
      <c r="AN104" s="701">
        <v>1290</v>
      </c>
      <c r="AO104" s="696"/>
      <c r="AP104" s="696"/>
      <c r="AQ104" s="697"/>
      <c r="AR104" s="697"/>
      <c r="AS104" s="702"/>
      <c r="AT104" s="702"/>
      <c r="AU104" s="660"/>
      <c r="AV104" s="660"/>
      <c r="AW104" s="147"/>
      <c r="AX104" s="119"/>
    </row>
    <row r="105" spans="1:50" ht="47.25" x14ac:dyDescent="0.25">
      <c r="A105" s="700">
        <v>16</v>
      </c>
      <c r="B105" s="449" t="s">
        <v>1767</v>
      </c>
      <c r="C105" s="450" t="s">
        <v>48</v>
      </c>
      <c r="D105" s="450" t="s">
        <v>770</v>
      </c>
      <c r="E105" s="450" t="s">
        <v>50</v>
      </c>
      <c r="F105" s="450"/>
      <c r="G105" s="673"/>
      <c r="H105" s="673"/>
      <c r="I105" s="670"/>
      <c r="J105" s="670"/>
      <c r="K105" s="670"/>
      <c r="L105" s="670"/>
      <c r="M105" s="670"/>
      <c r="N105" s="670"/>
      <c r="O105" s="670"/>
      <c r="P105" s="670"/>
      <c r="Q105" s="670"/>
      <c r="R105" s="670"/>
      <c r="S105" s="670"/>
      <c r="T105" s="670"/>
      <c r="U105" s="670"/>
      <c r="V105" s="670"/>
      <c r="W105" s="670"/>
      <c r="X105" s="671">
        <v>1500</v>
      </c>
      <c r="Y105" s="671">
        <v>1490</v>
      </c>
      <c r="Z105" s="673"/>
      <c r="AA105" s="673"/>
      <c r="AB105" s="671"/>
      <c r="AC105" s="669"/>
      <c r="AD105" s="669"/>
      <c r="AE105" s="669"/>
      <c r="AF105" s="669"/>
      <c r="AG105" s="669"/>
      <c r="AH105" s="669"/>
      <c r="AI105" s="669"/>
      <c r="AJ105" s="672"/>
      <c r="AK105" s="673">
        <v>0</v>
      </c>
      <c r="AL105" s="673">
        <v>0</v>
      </c>
      <c r="AM105" s="701">
        <v>1500</v>
      </c>
      <c r="AN105" s="701">
        <v>1490</v>
      </c>
      <c r="AO105" s="696"/>
      <c r="AP105" s="696"/>
      <c r="AQ105" s="697"/>
      <c r="AR105" s="697"/>
      <c r="AS105" s="702">
        <v>1500</v>
      </c>
      <c r="AT105" s="702">
        <v>1490</v>
      </c>
      <c r="AU105" s="660"/>
      <c r="AV105" s="660"/>
      <c r="AW105" s="147"/>
      <c r="AX105" s="119"/>
    </row>
    <row r="106" spans="1:50" ht="31.5" x14ac:dyDescent="0.25">
      <c r="A106" s="700">
        <v>17</v>
      </c>
      <c r="B106" s="449" t="s">
        <v>1768</v>
      </c>
      <c r="C106" s="450" t="s">
        <v>44</v>
      </c>
      <c r="D106" s="450" t="s">
        <v>1769</v>
      </c>
      <c r="E106" s="450" t="s">
        <v>50</v>
      </c>
      <c r="F106" s="450"/>
      <c r="G106" s="673"/>
      <c r="H106" s="673"/>
      <c r="I106" s="670"/>
      <c r="J106" s="670"/>
      <c r="K106" s="670"/>
      <c r="L106" s="670"/>
      <c r="M106" s="670"/>
      <c r="N106" s="670"/>
      <c r="O106" s="670"/>
      <c r="P106" s="670"/>
      <c r="Q106" s="670"/>
      <c r="R106" s="670"/>
      <c r="S106" s="670"/>
      <c r="T106" s="670"/>
      <c r="U106" s="670"/>
      <c r="V106" s="670"/>
      <c r="W106" s="670"/>
      <c r="X106" s="671">
        <v>3239.8339999999998</v>
      </c>
      <c r="Y106" s="671">
        <v>3230</v>
      </c>
      <c r="Z106" s="673"/>
      <c r="AA106" s="673"/>
      <c r="AB106" s="671"/>
      <c r="AC106" s="669"/>
      <c r="AD106" s="669"/>
      <c r="AE106" s="669"/>
      <c r="AF106" s="669"/>
      <c r="AG106" s="669"/>
      <c r="AH106" s="669"/>
      <c r="AI106" s="669"/>
      <c r="AJ106" s="672"/>
      <c r="AK106" s="673">
        <v>0</v>
      </c>
      <c r="AL106" s="673">
        <v>0</v>
      </c>
      <c r="AM106" s="701">
        <v>3240</v>
      </c>
      <c r="AN106" s="701">
        <v>3230</v>
      </c>
      <c r="AO106" s="696"/>
      <c r="AP106" s="696"/>
      <c r="AQ106" s="697"/>
      <c r="AR106" s="697"/>
      <c r="AS106" s="702">
        <v>3240</v>
      </c>
      <c r="AT106" s="702">
        <v>3230</v>
      </c>
      <c r="AU106" s="660"/>
      <c r="AV106" s="660"/>
      <c r="AW106" s="147"/>
      <c r="AX106" s="119"/>
    </row>
    <row r="107" spans="1:50" ht="47.25" x14ac:dyDescent="0.25">
      <c r="A107" s="700">
        <v>18</v>
      </c>
      <c r="B107" s="449" t="s">
        <v>1770</v>
      </c>
      <c r="C107" s="450" t="s">
        <v>42</v>
      </c>
      <c r="D107" s="450" t="s">
        <v>880</v>
      </c>
      <c r="E107" s="450" t="s">
        <v>50</v>
      </c>
      <c r="F107" s="450"/>
      <c r="G107" s="673"/>
      <c r="H107" s="673"/>
      <c r="I107" s="670"/>
      <c r="J107" s="670"/>
      <c r="K107" s="670"/>
      <c r="L107" s="670"/>
      <c r="M107" s="670"/>
      <c r="N107" s="670"/>
      <c r="O107" s="670"/>
      <c r="P107" s="670"/>
      <c r="Q107" s="670"/>
      <c r="R107" s="670"/>
      <c r="S107" s="670"/>
      <c r="T107" s="670"/>
      <c r="U107" s="670"/>
      <c r="V107" s="670"/>
      <c r="W107" s="670"/>
      <c r="X107" s="671">
        <v>2000</v>
      </c>
      <c r="Y107" s="671">
        <v>1990</v>
      </c>
      <c r="Z107" s="673"/>
      <c r="AA107" s="673"/>
      <c r="AB107" s="671"/>
      <c r="AC107" s="669"/>
      <c r="AD107" s="669"/>
      <c r="AE107" s="669"/>
      <c r="AF107" s="669"/>
      <c r="AG107" s="669"/>
      <c r="AH107" s="669"/>
      <c r="AI107" s="669"/>
      <c r="AJ107" s="672"/>
      <c r="AK107" s="673">
        <v>0</v>
      </c>
      <c r="AL107" s="673">
        <v>0</v>
      </c>
      <c r="AM107" s="701">
        <v>2000</v>
      </c>
      <c r="AN107" s="701">
        <v>1990</v>
      </c>
      <c r="AO107" s="696"/>
      <c r="AP107" s="696"/>
      <c r="AQ107" s="697"/>
      <c r="AR107" s="697"/>
      <c r="AS107" s="702">
        <v>2000</v>
      </c>
      <c r="AT107" s="702">
        <v>1990</v>
      </c>
      <c r="AU107" s="660"/>
      <c r="AV107" s="660"/>
      <c r="AW107" s="147"/>
      <c r="AX107" s="119"/>
    </row>
    <row r="108" spans="1:50" ht="47.25" x14ac:dyDescent="0.25">
      <c r="A108" s="700">
        <v>19</v>
      </c>
      <c r="B108" s="449" t="s">
        <v>1771</v>
      </c>
      <c r="C108" s="450" t="s">
        <v>42</v>
      </c>
      <c r="D108" s="450" t="s">
        <v>742</v>
      </c>
      <c r="E108" s="450" t="s">
        <v>50</v>
      </c>
      <c r="F108" s="450"/>
      <c r="G108" s="673"/>
      <c r="H108" s="673"/>
      <c r="I108" s="670"/>
      <c r="J108" s="670"/>
      <c r="K108" s="670"/>
      <c r="L108" s="670"/>
      <c r="M108" s="670"/>
      <c r="N108" s="670"/>
      <c r="O108" s="670"/>
      <c r="P108" s="670"/>
      <c r="Q108" s="670"/>
      <c r="R108" s="670"/>
      <c r="S108" s="670"/>
      <c r="T108" s="670"/>
      <c r="U108" s="670"/>
      <c r="V108" s="670"/>
      <c r="W108" s="670"/>
      <c r="X108" s="671">
        <v>2000</v>
      </c>
      <c r="Y108" s="671">
        <v>1990</v>
      </c>
      <c r="Z108" s="673"/>
      <c r="AA108" s="673"/>
      <c r="AB108" s="671"/>
      <c r="AC108" s="669"/>
      <c r="AD108" s="669"/>
      <c r="AE108" s="669"/>
      <c r="AF108" s="669"/>
      <c r="AG108" s="669"/>
      <c r="AH108" s="669"/>
      <c r="AI108" s="669"/>
      <c r="AJ108" s="672"/>
      <c r="AK108" s="673">
        <v>0</v>
      </c>
      <c r="AL108" s="673">
        <v>0</v>
      </c>
      <c r="AM108" s="701">
        <v>2000</v>
      </c>
      <c r="AN108" s="701">
        <v>1990</v>
      </c>
      <c r="AO108" s="696"/>
      <c r="AP108" s="696"/>
      <c r="AQ108" s="697"/>
      <c r="AR108" s="697"/>
      <c r="AS108" s="702">
        <v>2000</v>
      </c>
      <c r="AT108" s="702">
        <v>1990</v>
      </c>
      <c r="AU108" s="660"/>
      <c r="AV108" s="660"/>
      <c r="AW108" s="147"/>
      <c r="AX108" s="119"/>
    </row>
    <row r="109" spans="1:50" ht="31.5" x14ac:dyDescent="0.25">
      <c r="A109" s="700">
        <v>20</v>
      </c>
      <c r="B109" s="449" t="s">
        <v>1772</v>
      </c>
      <c r="C109" s="450" t="s">
        <v>49</v>
      </c>
      <c r="D109" s="450"/>
      <c r="E109" s="450" t="s">
        <v>50</v>
      </c>
      <c r="F109" s="450"/>
      <c r="G109" s="673"/>
      <c r="H109" s="673"/>
      <c r="I109" s="670"/>
      <c r="J109" s="670"/>
      <c r="K109" s="670"/>
      <c r="L109" s="670"/>
      <c r="M109" s="670"/>
      <c r="N109" s="670"/>
      <c r="O109" s="670"/>
      <c r="P109" s="670"/>
      <c r="Q109" s="670"/>
      <c r="R109" s="670"/>
      <c r="S109" s="670"/>
      <c r="T109" s="670"/>
      <c r="U109" s="670"/>
      <c r="V109" s="670"/>
      <c r="W109" s="670"/>
      <c r="X109" s="671">
        <v>700</v>
      </c>
      <c r="Y109" s="671">
        <v>690</v>
      </c>
      <c r="Z109" s="673"/>
      <c r="AA109" s="673"/>
      <c r="AB109" s="671"/>
      <c r="AC109" s="669"/>
      <c r="AD109" s="669"/>
      <c r="AE109" s="669"/>
      <c r="AF109" s="669"/>
      <c r="AG109" s="669"/>
      <c r="AH109" s="669"/>
      <c r="AI109" s="669"/>
      <c r="AJ109" s="672"/>
      <c r="AK109" s="673">
        <v>0</v>
      </c>
      <c r="AL109" s="673">
        <v>0</v>
      </c>
      <c r="AM109" s="701">
        <v>700</v>
      </c>
      <c r="AN109" s="701">
        <v>690</v>
      </c>
      <c r="AO109" s="696"/>
      <c r="AP109" s="696"/>
      <c r="AQ109" s="697"/>
      <c r="AR109" s="697"/>
      <c r="AS109" s="702">
        <v>700</v>
      </c>
      <c r="AT109" s="702">
        <v>690</v>
      </c>
      <c r="AU109" s="660"/>
      <c r="AV109" s="660"/>
      <c r="AW109" s="147"/>
      <c r="AX109" s="119"/>
    </row>
    <row r="110" spans="1:50" ht="31.5" x14ac:dyDescent="0.25">
      <c r="A110" s="700">
        <v>21</v>
      </c>
      <c r="B110" s="449" t="s">
        <v>1773</v>
      </c>
      <c r="C110" s="450" t="s">
        <v>41</v>
      </c>
      <c r="D110" s="450" t="s">
        <v>742</v>
      </c>
      <c r="E110" s="450" t="s">
        <v>50</v>
      </c>
      <c r="F110" s="450"/>
      <c r="G110" s="673"/>
      <c r="H110" s="673"/>
      <c r="I110" s="670"/>
      <c r="J110" s="670"/>
      <c r="K110" s="670"/>
      <c r="L110" s="670"/>
      <c r="M110" s="670"/>
      <c r="N110" s="670"/>
      <c r="O110" s="670"/>
      <c r="P110" s="670"/>
      <c r="Q110" s="670"/>
      <c r="R110" s="670"/>
      <c r="S110" s="670"/>
      <c r="T110" s="670"/>
      <c r="U110" s="670"/>
      <c r="V110" s="670"/>
      <c r="W110" s="670"/>
      <c r="X110" s="671">
        <v>1500</v>
      </c>
      <c r="Y110" s="671">
        <v>1490</v>
      </c>
      <c r="Z110" s="673"/>
      <c r="AA110" s="673"/>
      <c r="AB110" s="671"/>
      <c r="AC110" s="669"/>
      <c r="AD110" s="669"/>
      <c r="AE110" s="669"/>
      <c r="AF110" s="669"/>
      <c r="AG110" s="669"/>
      <c r="AH110" s="669"/>
      <c r="AI110" s="669"/>
      <c r="AJ110" s="672"/>
      <c r="AK110" s="673">
        <v>0</v>
      </c>
      <c r="AL110" s="673">
        <v>0</v>
      </c>
      <c r="AM110" s="701">
        <v>1500</v>
      </c>
      <c r="AN110" s="701">
        <v>1490</v>
      </c>
      <c r="AO110" s="696"/>
      <c r="AP110" s="696"/>
      <c r="AQ110" s="697"/>
      <c r="AR110" s="697"/>
      <c r="AS110" s="702">
        <v>1500</v>
      </c>
      <c r="AT110" s="702">
        <v>1490</v>
      </c>
      <c r="AU110" s="660"/>
      <c r="AV110" s="660"/>
      <c r="AW110" s="147"/>
      <c r="AX110" s="119"/>
    </row>
    <row r="111" spans="1:50" x14ac:dyDescent="0.25">
      <c r="A111" s="700" t="s">
        <v>730</v>
      </c>
      <c r="B111" s="444" t="s">
        <v>1774</v>
      </c>
      <c r="C111" s="450"/>
      <c r="D111" s="450"/>
      <c r="E111" s="450"/>
      <c r="F111" s="450"/>
      <c r="G111" s="673"/>
      <c r="H111" s="673"/>
      <c r="I111" s="670"/>
      <c r="J111" s="670"/>
      <c r="K111" s="670"/>
      <c r="L111" s="670"/>
      <c r="M111" s="670"/>
      <c r="N111" s="670"/>
      <c r="O111" s="670"/>
      <c r="P111" s="670"/>
      <c r="Q111" s="670"/>
      <c r="R111" s="670"/>
      <c r="S111" s="670"/>
      <c r="T111" s="670"/>
      <c r="U111" s="670"/>
      <c r="V111" s="670"/>
      <c r="W111" s="670"/>
      <c r="X111" s="662"/>
      <c r="Y111" s="662"/>
      <c r="Z111" s="673"/>
      <c r="AA111" s="673"/>
      <c r="AB111" s="671"/>
      <c r="AC111" s="669"/>
      <c r="AD111" s="669"/>
      <c r="AE111" s="669"/>
      <c r="AF111" s="669"/>
      <c r="AG111" s="669"/>
      <c r="AH111" s="669"/>
      <c r="AI111" s="669"/>
      <c r="AJ111" s="672"/>
      <c r="AK111" s="673">
        <v>0</v>
      </c>
      <c r="AL111" s="673">
        <v>0</v>
      </c>
      <c r="AM111" s="703"/>
      <c r="AN111" s="703"/>
      <c r="AO111" s="665"/>
      <c r="AP111" s="665"/>
      <c r="AQ111" s="666"/>
      <c r="AR111" s="666"/>
      <c r="AS111" s="674"/>
      <c r="AT111" s="674"/>
      <c r="AU111" s="660"/>
      <c r="AV111" s="660"/>
      <c r="AW111" s="147"/>
      <c r="AX111" s="119"/>
    </row>
    <row r="112" spans="1:50" ht="31.5" x14ac:dyDescent="0.25">
      <c r="A112" s="700">
        <v>1</v>
      </c>
      <c r="B112" s="449" t="s">
        <v>1775</v>
      </c>
      <c r="C112" s="450" t="s">
        <v>41</v>
      </c>
      <c r="D112" s="450"/>
      <c r="E112" s="450" t="s">
        <v>50</v>
      </c>
      <c r="F112" s="450"/>
      <c r="G112" s="673"/>
      <c r="H112" s="673"/>
      <c r="I112" s="670"/>
      <c r="J112" s="670"/>
      <c r="K112" s="670"/>
      <c r="L112" s="670"/>
      <c r="M112" s="670"/>
      <c r="N112" s="670"/>
      <c r="O112" s="670"/>
      <c r="P112" s="670"/>
      <c r="Q112" s="670"/>
      <c r="R112" s="670"/>
      <c r="S112" s="670"/>
      <c r="T112" s="670"/>
      <c r="U112" s="670"/>
      <c r="V112" s="670"/>
      <c r="W112" s="670"/>
      <c r="X112" s="671">
        <v>450</v>
      </c>
      <c r="Y112" s="671">
        <v>440</v>
      </c>
      <c r="Z112" s="673"/>
      <c r="AA112" s="673"/>
      <c r="AB112" s="671"/>
      <c r="AC112" s="669"/>
      <c r="AD112" s="669"/>
      <c r="AE112" s="669"/>
      <c r="AF112" s="669"/>
      <c r="AG112" s="669"/>
      <c r="AH112" s="669"/>
      <c r="AI112" s="669"/>
      <c r="AJ112" s="672"/>
      <c r="AK112" s="673"/>
      <c r="AL112" s="673">
        <v>440</v>
      </c>
      <c r="AM112" s="453">
        <v>0</v>
      </c>
      <c r="AN112" s="453">
        <v>0</v>
      </c>
      <c r="AO112" s="665"/>
      <c r="AP112" s="665"/>
      <c r="AQ112" s="666"/>
      <c r="AR112" s="666"/>
      <c r="AS112" s="674">
        <v>0</v>
      </c>
      <c r="AT112" s="674">
        <v>0</v>
      </c>
      <c r="AU112" s="660"/>
      <c r="AV112" s="660"/>
      <c r="AW112" s="147"/>
      <c r="AX112" s="119"/>
    </row>
    <row r="113" spans="1:50" ht="31.5" x14ac:dyDescent="0.25">
      <c r="A113" s="700">
        <v>2</v>
      </c>
      <c r="B113" s="449" t="s">
        <v>1776</v>
      </c>
      <c r="C113" s="450" t="s">
        <v>751</v>
      </c>
      <c r="D113" s="450"/>
      <c r="E113" s="450" t="s">
        <v>50</v>
      </c>
      <c r="F113" s="450"/>
      <c r="G113" s="673"/>
      <c r="H113" s="673"/>
      <c r="I113" s="670"/>
      <c r="J113" s="670"/>
      <c r="K113" s="670"/>
      <c r="L113" s="670"/>
      <c r="M113" s="670"/>
      <c r="N113" s="670"/>
      <c r="O113" s="670"/>
      <c r="P113" s="670"/>
      <c r="Q113" s="670"/>
      <c r="R113" s="670"/>
      <c r="S113" s="670"/>
      <c r="T113" s="670"/>
      <c r="U113" s="670"/>
      <c r="V113" s="670"/>
      <c r="W113" s="670"/>
      <c r="X113" s="671">
        <v>650</v>
      </c>
      <c r="Y113" s="671">
        <v>640</v>
      </c>
      <c r="Z113" s="673"/>
      <c r="AA113" s="673"/>
      <c r="AB113" s="671"/>
      <c r="AC113" s="669"/>
      <c r="AD113" s="669"/>
      <c r="AE113" s="669"/>
      <c r="AF113" s="669"/>
      <c r="AG113" s="669"/>
      <c r="AH113" s="669"/>
      <c r="AI113" s="669"/>
      <c r="AJ113" s="672"/>
      <c r="AK113" s="673"/>
      <c r="AL113" s="673">
        <v>640</v>
      </c>
      <c r="AM113" s="453">
        <v>0</v>
      </c>
      <c r="AN113" s="453">
        <v>0</v>
      </c>
      <c r="AO113" s="665"/>
      <c r="AP113" s="665"/>
      <c r="AQ113" s="666"/>
      <c r="AR113" s="666"/>
      <c r="AS113" s="674">
        <v>0</v>
      </c>
      <c r="AT113" s="674">
        <v>0</v>
      </c>
      <c r="AU113" s="660"/>
      <c r="AV113" s="660"/>
      <c r="AW113" s="147"/>
      <c r="AX113" s="119"/>
    </row>
    <row r="114" spans="1:50" ht="31.5" x14ac:dyDescent="0.25">
      <c r="A114" s="700">
        <v>3</v>
      </c>
      <c r="B114" s="449" t="s">
        <v>1777</v>
      </c>
      <c r="C114" s="450" t="s">
        <v>49</v>
      </c>
      <c r="D114" s="450"/>
      <c r="E114" s="450" t="s">
        <v>50</v>
      </c>
      <c r="F114" s="450"/>
      <c r="G114" s="673"/>
      <c r="H114" s="673"/>
      <c r="I114" s="670"/>
      <c r="J114" s="670"/>
      <c r="K114" s="670"/>
      <c r="L114" s="670"/>
      <c r="M114" s="670"/>
      <c r="N114" s="670"/>
      <c r="O114" s="670"/>
      <c r="P114" s="670"/>
      <c r="Q114" s="670"/>
      <c r="R114" s="670"/>
      <c r="S114" s="670"/>
      <c r="T114" s="670"/>
      <c r="U114" s="670"/>
      <c r="V114" s="670"/>
      <c r="W114" s="670"/>
      <c r="X114" s="671">
        <v>2379</v>
      </c>
      <c r="Y114" s="671">
        <v>2369</v>
      </c>
      <c r="Z114" s="673"/>
      <c r="AA114" s="673"/>
      <c r="AB114" s="671"/>
      <c r="AC114" s="669"/>
      <c r="AD114" s="669"/>
      <c r="AE114" s="669"/>
      <c r="AF114" s="669"/>
      <c r="AG114" s="669"/>
      <c r="AH114" s="669"/>
      <c r="AI114" s="669"/>
      <c r="AJ114" s="672"/>
      <c r="AK114" s="673"/>
      <c r="AL114" s="673">
        <v>2369</v>
      </c>
      <c r="AM114" s="453">
        <v>0</v>
      </c>
      <c r="AN114" s="453">
        <v>0</v>
      </c>
      <c r="AO114" s="665"/>
      <c r="AP114" s="665"/>
      <c r="AQ114" s="666"/>
      <c r="AR114" s="666"/>
      <c r="AS114" s="674">
        <v>0</v>
      </c>
      <c r="AT114" s="674">
        <v>0</v>
      </c>
      <c r="AU114" s="660"/>
      <c r="AV114" s="660"/>
      <c r="AW114" s="147"/>
      <c r="AX114" s="119"/>
    </row>
    <row r="115" spans="1:50" ht="26.25" customHeight="1" x14ac:dyDescent="0.25">
      <c r="A115" s="443" t="s">
        <v>1655</v>
      </c>
      <c r="B115" s="704" t="s">
        <v>1778</v>
      </c>
      <c r="C115" s="445"/>
      <c r="D115" s="445"/>
      <c r="E115" s="445"/>
      <c r="F115" s="450"/>
      <c r="G115" s="673"/>
      <c r="H115" s="673"/>
      <c r="I115" s="670"/>
      <c r="J115" s="670"/>
      <c r="K115" s="670"/>
      <c r="L115" s="670"/>
      <c r="M115" s="670"/>
      <c r="N115" s="670"/>
      <c r="O115" s="670"/>
      <c r="P115" s="670"/>
      <c r="Q115" s="670"/>
      <c r="R115" s="670"/>
      <c r="S115" s="670"/>
      <c r="T115" s="670"/>
      <c r="U115" s="670"/>
      <c r="V115" s="670"/>
      <c r="W115" s="670"/>
      <c r="X115" s="673"/>
      <c r="Y115" s="673"/>
      <c r="Z115" s="673"/>
      <c r="AA115" s="673"/>
      <c r="AB115" s="671"/>
      <c r="AC115" s="669"/>
      <c r="AD115" s="669"/>
      <c r="AE115" s="669"/>
      <c r="AF115" s="669"/>
      <c r="AG115" s="669"/>
      <c r="AH115" s="669"/>
      <c r="AI115" s="669"/>
      <c r="AJ115" s="672"/>
      <c r="AK115" s="673">
        <v>0</v>
      </c>
      <c r="AL115" s="673"/>
      <c r="AM115" s="703"/>
      <c r="AN115" s="703"/>
      <c r="AO115" s="665"/>
      <c r="AP115" s="665"/>
      <c r="AQ115" s="666"/>
      <c r="AR115" s="666"/>
      <c r="AS115" s="674"/>
      <c r="AT115" s="674"/>
      <c r="AU115" s="660"/>
      <c r="AV115" s="660"/>
      <c r="AW115" s="147"/>
      <c r="AX115" s="119"/>
    </row>
    <row r="116" spans="1:50" ht="31.5" x14ac:dyDescent="0.25">
      <c r="A116" s="448" t="s">
        <v>688</v>
      </c>
      <c r="B116" s="500" t="s">
        <v>1779</v>
      </c>
      <c r="C116" s="450" t="s">
        <v>49</v>
      </c>
      <c r="D116" s="450" t="s">
        <v>45</v>
      </c>
      <c r="E116" s="450" t="s">
        <v>61</v>
      </c>
      <c r="F116" s="450" t="s">
        <v>1766</v>
      </c>
      <c r="G116" s="673"/>
      <c r="H116" s="673"/>
      <c r="I116" s="670"/>
      <c r="J116" s="670"/>
      <c r="K116" s="670"/>
      <c r="L116" s="670"/>
      <c r="M116" s="670"/>
      <c r="N116" s="670"/>
      <c r="O116" s="670"/>
      <c r="P116" s="670"/>
      <c r="Q116" s="670"/>
      <c r="R116" s="670"/>
      <c r="S116" s="670"/>
      <c r="T116" s="670"/>
      <c r="U116" s="670"/>
      <c r="V116" s="670"/>
      <c r="W116" s="670"/>
      <c r="X116" s="673"/>
      <c r="Y116" s="673"/>
      <c r="Z116" s="673"/>
      <c r="AA116" s="673"/>
      <c r="AB116" s="671"/>
      <c r="AC116" s="669"/>
      <c r="AD116" s="669"/>
      <c r="AE116" s="669"/>
      <c r="AF116" s="669"/>
      <c r="AG116" s="669"/>
      <c r="AH116" s="669"/>
      <c r="AI116" s="669"/>
      <c r="AJ116" s="672"/>
      <c r="AK116" s="673">
        <v>1950</v>
      </c>
      <c r="AL116" s="673"/>
      <c r="AM116" s="453">
        <v>1980</v>
      </c>
      <c r="AN116" s="453">
        <v>1950</v>
      </c>
      <c r="AO116" s="665"/>
      <c r="AP116" s="665"/>
      <c r="AQ116" s="666"/>
      <c r="AR116" s="666"/>
      <c r="AS116" s="674"/>
      <c r="AT116" s="674"/>
      <c r="AU116" s="660"/>
      <c r="AV116" s="660"/>
      <c r="AW116" s="147"/>
      <c r="AX116" s="119"/>
    </row>
    <row r="117" spans="1:50" ht="31.5" x14ac:dyDescent="0.25">
      <c r="A117" s="448" t="s">
        <v>693</v>
      </c>
      <c r="B117" s="500" t="s">
        <v>1780</v>
      </c>
      <c r="C117" s="450" t="s">
        <v>41</v>
      </c>
      <c r="D117" s="450" t="s">
        <v>1747</v>
      </c>
      <c r="E117" s="450" t="s">
        <v>61</v>
      </c>
      <c r="F117" s="450"/>
      <c r="G117" s="673"/>
      <c r="H117" s="673"/>
      <c r="I117" s="670"/>
      <c r="J117" s="670"/>
      <c r="K117" s="670"/>
      <c r="L117" s="670"/>
      <c r="M117" s="670"/>
      <c r="N117" s="670"/>
      <c r="O117" s="670"/>
      <c r="P117" s="670"/>
      <c r="Q117" s="670"/>
      <c r="R117" s="670"/>
      <c r="S117" s="670"/>
      <c r="T117" s="670"/>
      <c r="U117" s="670"/>
      <c r="V117" s="670"/>
      <c r="W117" s="670"/>
      <c r="X117" s="673"/>
      <c r="Y117" s="673"/>
      <c r="Z117" s="673"/>
      <c r="AA117" s="673"/>
      <c r="AB117" s="671"/>
      <c r="AC117" s="669"/>
      <c r="AD117" s="669"/>
      <c r="AE117" s="669"/>
      <c r="AF117" s="669"/>
      <c r="AG117" s="669"/>
      <c r="AH117" s="669"/>
      <c r="AI117" s="669"/>
      <c r="AJ117" s="672"/>
      <c r="AK117" s="673">
        <v>1646.3130000000001</v>
      </c>
      <c r="AL117" s="673"/>
      <c r="AM117" s="453">
        <v>1676</v>
      </c>
      <c r="AN117" s="453">
        <v>1646</v>
      </c>
      <c r="AO117" s="665"/>
      <c r="AP117" s="665"/>
      <c r="AQ117" s="666"/>
      <c r="AR117" s="666"/>
      <c r="AS117" s="453">
        <v>1676</v>
      </c>
      <c r="AT117" s="453">
        <v>1646</v>
      </c>
      <c r="AU117" s="660"/>
      <c r="AV117" s="660"/>
      <c r="AW117" s="147"/>
      <c r="AX117" s="119"/>
    </row>
    <row r="118" spans="1:50" s="14" customFormat="1" ht="33" customHeight="1" x14ac:dyDescent="0.25">
      <c r="A118" s="448" t="s">
        <v>696</v>
      </c>
      <c r="B118" s="500" t="s">
        <v>1781</v>
      </c>
      <c r="C118" s="450"/>
      <c r="D118" s="450"/>
      <c r="E118" s="450"/>
      <c r="F118" s="450"/>
      <c r="G118" s="673"/>
      <c r="H118" s="673"/>
      <c r="I118" s="670"/>
      <c r="J118" s="670"/>
      <c r="K118" s="670"/>
      <c r="L118" s="670"/>
      <c r="M118" s="670"/>
      <c r="N118" s="670"/>
      <c r="O118" s="670"/>
      <c r="P118" s="670"/>
      <c r="Q118" s="670"/>
      <c r="R118" s="670"/>
      <c r="S118" s="670"/>
      <c r="T118" s="670"/>
      <c r="U118" s="670"/>
      <c r="V118" s="670"/>
      <c r="W118" s="670"/>
      <c r="X118" s="673"/>
      <c r="Y118" s="673"/>
      <c r="Z118" s="673"/>
      <c r="AA118" s="673"/>
      <c r="AB118" s="671"/>
      <c r="AC118" s="669"/>
      <c r="AD118" s="669"/>
      <c r="AE118" s="669"/>
      <c r="AF118" s="669"/>
      <c r="AG118" s="669"/>
      <c r="AH118" s="669"/>
      <c r="AI118" s="669"/>
      <c r="AJ118" s="672"/>
      <c r="AK118" s="673"/>
      <c r="AL118" s="673"/>
      <c r="AM118" s="453"/>
      <c r="AN118" s="453"/>
      <c r="AO118" s="665"/>
      <c r="AP118" s="665"/>
      <c r="AQ118" s="666">
        <v>1290</v>
      </c>
      <c r="AR118" s="666"/>
      <c r="AS118" s="53">
        <v>1300</v>
      </c>
      <c r="AT118" s="53">
        <v>1290</v>
      </c>
      <c r="AU118" s="667"/>
      <c r="AV118" s="667"/>
      <c r="AW118" s="225"/>
    </row>
    <row r="119" spans="1:50" ht="31.5" x14ac:dyDescent="0.25">
      <c r="A119" s="448" t="s">
        <v>700</v>
      </c>
      <c r="B119" s="500" t="s">
        <v>1782</v>
      </c>
      <c r="C119" s="450"/>
      <c r="D119" s="450"/>
      <c r="E119" s="450"/>
      <c r="F119" s="450"/>
      <c r="G119" s="673"/>
      <c r="H119" s="673"/>
      <c r="I119" s="670"/>
      <c r="J119" s="670"/>
      <c r="K119" s="670"/>
      <c r="L119" s="670"/>
      <c r="M119" s="670"/>
      <c r="N119" s="670"/>
      <c r="O119" s="670"/>
      <c r="P119" s="670"/>
      <c r="Q119" s="670"/>
      <c r="R119" s="670"/>
      <c r="S119" s="670"/>
      <c r="T119" s="670"/>
      <c r="U119" s="670"/>
      <c r="V119" s="670"/>
      <c r="W119" s="670"/>
      <c r="X119" s="673"/>
      <c r="Y119" s="673"/>
      <c r="Z119" s="673"/>
      <c r="AA119" s="673"/>
      <c r="AB119" s="671"/>
      <c r="AC119" s="669"/>
      <c r="AD119" s="669"/>
      <c r="AE119" s="669"/>
      <c r="AF119" s="669"/>
      <c r="AG119" s="669"/>
      <c r="AH119" s="669"/>
      <c r="AI119" s="669"/>
      <c r="AJ119" s="672"/>
      <c r="AK119" s="673"/>
      <c r="AL119" s="673"/>
      <c r="AM119" s="453"/>
      <c r="AN119" s="453"/>
      <c r="AO119" s="665"/>
      <c r="AP119" s="665"/>
      <c r="AQ119" s="666">
        <v>1950</v>
      </c>
      <c r="AR119" s="666"/>
      <c r="AS119" s="674">
        <v>1980</v>
      </c>
      <c r="AT119" s="674">
        <v>1950</v>
      </c>
      <c r="AU119" s="660"/>
      <c r="AV119" s="660"/>
      <c r="AW119" s="147"/>
      <c r="AX119" s="119"/>
    </row>
    <row r="120" spans="1:50" ht="31.5" x14ac:dyDescent="0.25">
      <c r="A120" s="622" t="s">
        <v>224</v>
      </c>
      <c r="B120" s="632" t="s">
        <v>1783</v>
      </c>
      <c r="C120" s="464"/>
      <c r="D120" s="464"/>
      <c r="E120" s="464"/>
      <c r="F120" s="450"/>
      <c r="G120" s="673"/>
      <c r="H120" s="673"/>
      <c r="I120" s="670"/>
      <c r="J120" s="670"/>
      <c r="K120" s="670"/>
      <c r="L120" s="670"/>
      <c r="M120" s="670"/>
      <c r="N120" s="670"/>
      <c r="O120" s="670"/>
      <c r="P120" s="670"/>
      <c r="Q120" s="670"/>
      <c r="R120" s="670"/>
      <c r="S120" s="670"/>
      <c r="T120" s="670"/>
      <c r="U120" s="670"/>
      <c r="V120" s="670"/>
      <c r="W120" s="670"/>
      <c r="X120" s="673"/>
      <c r="Y120" s="673"/>
      <c r="Z120" s="673"/>
      <c r="AA120" s="673"/>
      <c r="AB120" s="671"/>
      <c r="AC120" s="669"/>
      <c r="AD120" s="669"/>
      <c r="AE120" s="669"/>
      <c r="AF120" s="669"/>
      <c r="AG120" s="669"/>
      <c r="AH120" s="669"/>
      <c r="AI120" s="669"/>
      <c r="AJ120" s="672"/>
      <c r="AK120" s="673"/>
      <c r="AL120" s="673"/>
      <c r="AM120" s="686"/>
      <c r="AN120" s="686"/>
      <c r="AO120" s="665"/>
      <c r="AP120" s="665"/>
      <c r="AQ120" s="666"/>
      <c r="AR120" s="666"/>
      <c r="AS120" s="509"/>
      <c r="AT120" s="509"/>
      <c r="AU120" s="694"/>
      <c r="AV120" s="694"/>
      <c r="AW120" s="147"/>
      <c r="AX120" s="119"/>
    </row>
    <row r="121" spans="1:50" ht="47.25" x14ac:dyDescent="0.25">
      <c r="A121" s="448" t="s">
        <v>688</v>
      </c>
      <c r="B121" s="500" t="s">
        <v>1784</v>
      </c>
      <c r="C121" s="450" t="s">
        <v>751</v>
      </c>
      <c r="D121" s="450"/>
      <c r="E121" s="450" t="s">
        <v>61</v>
      </c>
      <c r="F121" s="450"/>
      <c r="G121" s="673"/>
      <c r="H121" s="673"/>
      <c r="I121" s="670"/>
      <c r="J121" s="670"/>
      <c r="K121" s="670"/>
      <c r="L121" s="670"/>
      <c r="M121" s="670"/>
      <c r="N121" s="670"/>
      <c r="O121" s="670"/>
      <c r="P121" s="670"/>
      <c r="Q121" s="670"/>
      <c r="R121" s="670"/>
      <c r="S121" s="670"/>
      <c r="T121" s="670"/>
      <c r="U121" s="670"/>
      <c r="V121" s="670"/>
      <c r="W121" s="670"/>
      <c r="X121" s="673"/>
      <c r="Y121" s="673"/>
      <c r="Z121" s="673"/>
      <c r="AA121" s="673"/>
      <c r="AB121" s="671"/>
      <c r="AC121" s="669"/>
      <c r="AD121" s="669"/>
      <c r="AE121" s="669"/>
      <c r="AF121" s="669"/>
      <c r="AG121" s="669"/>
      <c r="AH121" s="669"/>
      <c r="AI121" s="669"/>
      <c r="AJ121" s="672"/>
      <c r="AK121" s="673">
        <v>1151</v>
      </c>
      <c r="AL121" s="673"/>
      <c r="AM121" s="705">
        <v>1161</v>
      </c>
      <c r="AN121" s="705">
        <v>1151</v>
      </c>
      <c r="AO121" s="665"/>
      <c r="AP121" s="665"/>
      <c r="AQ121" s="666"/>
      <c r="AR121" s="666"/>
      <c r="AS121" s="674">
        <v>1161</v>
      </c>
      <c r="AT121" s="674">
        <v>1151</v>
      </c>
      <c r="AU121" s="660"/>
      <c r="AV121" s="660"/>
      <c r="AW121" s="147"/>
      <c r="AX121" s="119"/>
    </row>
    <row r="122" spans="1:50" ht="27.75" customHeight="1" x14ac:dyDescent="0.25">
      <c r="A122" s="646" t="s">
        <v>1785</v>
      </c>
      <c r="B122" s="647" t="s">
        <v>1786</v>
      </c>
      <c r="C122" s="464"/>
      <c r="D122" s="464"/>
      <c r="E122" s="613"/>
      <c r="F122" s="464"/>
      <c r="G122" s="658">
        <v>31707</v>
      </c>
      <c r="H122" s="658">
        <v>31436</v>
      </c>
      <c r="I122" s="659"/>
      <c r="J122" s="659"/>
      <c r="K122" s="659"/>
      <c r="L122" s="659"/>
      <c r="M122" s="659"/>
      <c r="N122" s="659"/>
      <c r="O122" s="659"/>
      <c r="P122" s="659"/>
      <c r="Q122" s="659"/>
      <c r="R122" s="659"/>
      <c r="S122" s="659"/>
      <c r="T122" s="659"/>
      <c r="U122" s="659"/>
      <c r="V122" s="659"/>
      <c r="W122" s="659"/>
      <c r="X122" s="658">
        <v>57793</v>
      </c>
      <c r="Y122" s="658">
        <v>57793</v>
      </c>
      <c r="Z122" s="658">
        <v>0</v>
      </c>
      <c r="AA122" s="658">
        <v>0</v>
      </c>
      <c r="AB122" s="658">
        <v>0</v>
      </c>
      <c r="AC122" s="658">
        <v>0</v>
      </c>
      <c r="AD122" s="658">
        <v>0</v>
      </c>
      <c r="AE122" s="658">
        <v>0</v>
      </c>
      <c r="AF122" s="658">
        <v>0</v>
      </c>
      <c r="AG122" s="658">
        <v>0</v>
      </c>
      <c r="AH122" s="658">
        <v>0</v>
      </c>
      <c r="AI122" s="658">
        <v>0</v>
      </c>
      <c r="AJ122" s="658">
        <v>0</v>
      </c>
      <c r="AK122" s="658">
        <v>631.53</v>
      </c>
      <c r="AL122" s="658">
        <v>7773.47</v>
      </c>
      <c r="AM122" s="465">
        <f t="shared" ref="AM122:AV122" si="14">+AM123+AM124</f>
        <v>51276</v>
      </c>
      <c r="AN122" s="465">
        <f t="shared" si="14"/>
        <v>50652</v>
      </c>
      <c r="AO122" s="465">
        <f t="shared" si="14"/>
        <v>0</v>
      </c>
      <c r="AP122" s="465">
        <f t="shared" si="14"/>
        <v>0</v>
      </c>
      <c r="AQ122" s="465">
        <f t="shared" si="14"/>
        <v>1769</v>
      </c>
      <c r="AR122" s="465">
        <f t="shared" si="14"/>
        <v>1769.03</v>
      </c>
      <c r="AS122" s="465">
        <f t="shared" si="14"/>
        <v>53076</v>
      </c>
      <c r="AT122" s="465">
        <f t="shared" si="14"/>
        <v>50651.97</v>
      </c>
      <c r="AU122" s="465">
        <f t="shared" si="14"/>
        <v>0</v>
      </c>
      <c r="AV122" s="465">
        <f t="shared" si="14"/>
        <v>0</v>
      </c>
      <c r="AW122" s="147"/>
      <c r="AX122" s="119"/>
    </row>
    <row r="123" spans="1:50" ht="47.25" x14ac:dyDescent="0.25">
      <c r="A123" s="469" t="s">
        <v>730</v>
      </c>
      <c r="B123" s="470" t="s">
        <v>1670</v>
      </c>
      <c r="C123" s="471"/>
      <c r="D123" s="471"/>
      <c r="E123" s="471"/>
      <c r="F123" s="471"/>
      <c r="G123" s="680">
        <v>24107</v>
      </c>
      <c r="H123" s="680">
        <v>24107</v>
      </c>
      <c r="I123" s="670"/>
      <c r="J123" s="670"/>
      <c r="K123" s="670"/>
      <c r="L123" s="670"/>
      <c r="M123" s="670"/>
      <c r="N123" s="670"/>
      <c r="O123" s="670"/>
      <c r="P123" s="670"/>
      <c r="Q123" s="670"/>
      <c r="R123" s="670"/>
      <c r="S123" s="670"/>
      <c r="T123" s="670"/>
      <c r="U123" s="670"/>
      <c r="V123" s="670"/>
      <c r="W123" s="670"/>
      <c r="X123" s="678">
        <v>10893</v>
      </c>
      <c r="Y123" s="678">
        <v>10893</v>
      </c>
      <c r="Z123" s="673"/>
      <c r="AA123" s="673"/>
      <c r="AB123" s="671"/>
      <c r="AC123" s="669"/>
      <c r="AD123" s="669"/>
      <c r="AE123" s="669"/>
      <c r="AF123" s="669"/>
      <c r="AG123" s="669"/>
      <c r="AH123" s="669"/>
      <c r="AI123" s="669"/>
      <c r="AJ123" s="672"/>
      <c r="AK123" s="673"/>
      <c r="AL123" s="673"/>
      <c r="AM123" s="454">
        <v>10894</v>
      </c>
      <c r="AN123" s="454">
        <v>10894</v>
      </c>
      <c r="AO123" s="665"/>
      <c r="AP123" s="665"/>
      <c r="AQ123" s="666"/>
      <c r="AR123" s="666"/>
      <c r="AS123" s="674">
        <v>10894</v>
      </c>
      <c r="AT123" s="674">
        <v>10894</v>
      </c>
      <c r="AU123" s="660"/>
      <c r="AV123" s="660"/>
      <c r="AW123" s="147"/>
      <c r="AX123" s="119"/>
    </row>
    <row r="124" spans="1:50" ht="31.5" x14ac:dyDescent="0.25">
      <c r="A124" s="469" t="s">
        <v>730</v>
      </c>
      <c r="B124" s="470" t="s">
        <v>735</v>
      </c>
      <c r="C124" s="471"/>
      <c r="D124" s="471"/>
      <c r="E124" s="471"/>
      <c r="F124" s="471"/>
      <c r="G124" s="680">
        <v>7600</v>
      </c>
      <c r="H124" s="680">
        <v>7329</v>
      </c>
      <c r="I124" s="670"/>
      <c r="J124" s="670"/>
      <c r="K124" s="670"/>
      <c r="L124" s="670"/>
      <c r="M124" s="670"/>
      <c r="N124" s="670"/>
      <c r="O124" s="670"/>
      <c r="P124" s="670"/>
      <c r="Q124" s="670"/>
      <c r="R124" s="670"/>
      <c r="S124" s="670"/>
      <c r="T124" s="670"/>
      <c r="U124" s="670"/>
      <c r="V124" s="670"/>
      <c r="W124" s="670"/>
      <c r="X124" s="680">
        <v>46900</v>
      </c>
      <c r="Y124" s="680">
        <v>46900</v>
      </c>
      <c r="Z124" s="680">
        <v>0</v>
      </c>
      <c r="AA124" s="680">
        <v>0</v>
      </c>
      <c r="AB124" s="680">
        <v>0</v>
      </c>
      <c r="AC124" s="680">
        <v>0</v>
      </c>
      <c r="AD124" s="680">
        <v>0</v>
      </c>
      <c r="AE124" s="680">
        <v>0</v>
      </c>
      <c r="AF124" s="680">
        <v>0</v>
      </c>
      <c r="AG124" s="680">
        <v>0</v>
      </c>
      <c r="AH124" s="680">
        <v>0</v>
      </c>
      <c r="AI124" s="680">
        <v>0</v>
      </c>
      <c r="AJ124" s="680">
        <v>0</v>
      </c>
      <c r="AK124" s="680">
        <v>631.53</v>
      </c>
      <c r="AL124" s="680">
        <v>7773.47</v>
      </c>
      <c r="AM124" s="472">
        <f t="shared" ref="AM124:AV124" si="15">+SUM(AM125:AM140)</f>
        <v>40382</v>
      </c>
      <c r="AN124" s="472">
        <f t="shared" si="15"/>
        <v>39758</v>
      </c>
      <c r="AO124" s="472">
        <f t="shared" si="15"/>
        <v>0</v>
      </c>
      <c r="AP124" s="472">
        <f t="shared" si="15"/>
        <v>0</v>
      </c>
      <c r="AQ124" s="472">
        <f t="shared" ref="AQ124:AS124" si="16">+SUM(AQ125:AQ142)</f>
        <v>1769</v>
      </c>
      <c r="AR124" s="472">
        <f t="shared" si="16"/>
        <v>1769.03</v>
      </c>
      <c r="AS124" s="472">
        <f t="shared" si="16"/>
        <v>42182</v>
      </c>
      <c r="AT124" s="472">
        <f>+SUM(AT125:AT142)</f>
        <v>39757.97</v>
      </c>
      <c r="AU124" s="472">
        <f t="shared" si="15"/>
        <v>0</v>
      </c>
      <c r="AV124" s="472">
        <f t="shared" si="15"/>
        <v>0</v>
      </c>
      <c r="AW124" s="147"/>
      <c r="AX124" s="119"/>
    </row>
    <row r="125" spans="1:50" ht="31.5" x14ac:dyDescent="0.25">
      <c r="A125" s="448">
        <v>1</v>
      </c>
      <c r="B125" s="449" t="s">
        <v>1787</v>
      </c>
      <c r="C125" s="450" t="s">
        <v>1788</v>
      </c>
      <c r="D125" s="450" t="s">
        <v>1415</v>
      </c>
      <c r="E125" s="450" t="s">
        <v>1063</v>
      </c>
      <c r="F125" s="450" t="s">
        <v>1789</v>
      </c>
      <c r="G125" s="669">
        <v>3000</v>
      </c>
      <c r="H125" s="669">
        <v>2810</v>
      </c>
      <c r="I125" s="670"/>
      <c r="J125" s="670"/>
      <c r="K125" s="670"/>
      <c r="L125" s="670"/>
      <c r="M125" s="670"/>
      <c r="N125" s="670"/>
      <c r="O125" s="670"/>
      <c r="P125" s="670"/>
      <c r="Q125" s="670"/>
      <c r="R125" s="670"/>
      <c r="S125" s="670"/>
      <c r="T125" s="670"/>
      <c r="U125" s="670"/>
      <c r="V125" s="670"/>
      <c r="W125" s="670"/>
      <c r="X125" s="671">
        <v>2810</v>
      </c>
      <c r="Y125" s="671">
        <v>2810</v>
      </c>
      <c r="Z125" s="673"/>
      <c r="AA125" s="673"/>
      <c r="AB125" s="671"/>
      <c r="AC125" s="669"/>
      <c r="AD125" s="669"/>
      <c r="AE125" s="669"/>
      <c r="AF125" s="669"/>
      <c r="AG125" s="669"/>
      <c r="AH125" s="669"/>
      <c r="AI125" s="669"/>
      <c r="AJ125" s="672"/>
      <c r="AK125" s="673">
        <v>0</v>
      </c>
      <c r="AL125" s="673">
        <v>0</v>
      </c>
      <c r="AM125" s="454">
        <v>3000</v>
      </c>
      <c r="AN125" s="454">
        <v>2810</v>
      </c>
      <c r="AO125" s="665"/>
      <c r="AP125" s="665"/>
      <c r="AQ125" s="666"/>
      <c r="AR125" s="666"/>
      <c r="AS125" s="674">
        <v>3000</v>
      </c>
      <c r="AT125" s="674">
        <v>2810</v>
      </c>
      <c r="AU125" s="660"/>
      <c r="AV125" s="660"/>
      <c r="AW125" s="147"/>
      <c r="AX125" s="119"/>
    </row>
    <row r="126" spans="1:50" ht="31.5" x14ac:dyDescent="0.25">
      <c r="A126" s="448">
        <v>2</v>
      </c>
      <c r="B126" s="449" t="s">
        <v>1790</v>
      </c>
      <c r="C126" s="450" t="s">
        <v>1791</v>
      </c>
      <c r="D126" s="450" t="s">
        <v>409</v>
      </c>
      <c r="E126" s="450" t="s">
        <v>1063</v>
      </c>
      <c r="F126" s="450" t="s">
        <v>1792</v>
      </c>
      <c r="G126" s="669">
        <v>3000</v>
      </c>
      <c r="H126" s="669">
        <v>2951</v>
      </c>
      <c r="I126" s="670"/>
      <c r="J126" s="670"/>
      <c r="K126" s="670"/>
      <c r="L126" s="670"/>
      <c r="M126" s="670"/>
      <c r="N126" s="670"/>
      <c r="O126" s="670"/>
      <c r="P126" s="670"/>
      <c r="Q126" s="670"/>
      <c r="R126" s="670"/>
      <c r="S126" s="670"/>
      <c r="T126" s="670"/>
      <c r="U126" s="670"/>
      <c r="V126" s="670"/>
      <c r="W126" s="670"/>
      <c r="X126" s="671">
        <v>2951</v>
      </c>
      <c r="Y126" s="671">
        <v>2951</v>
      </c>
      <c r="Z126" s="673"/>
      <c r="AA126" s="673"/>
      <c r="AB126" s="671"/>
      <c r="AC126" s="669"/>
      <c r="AD126" s="669"/>
      <c r="AE126" s="669"/>
      <c r="AF126" s="669"/>
      <c r="AG126" s="669"/>
      <c r="AH126" s="669"/>
      <c r="AI126" s="669"/>
      <c r="AJ126" s="672"/>
      <c r="AK126" s="673"/>
      <c r="AL126" s="673"/>
      <c r="AM126" s="454">
        <v>3000</v>
      </c>
      <c r="AN126" s="454">
        <v>2951</v>
      </c>
      <c r="AO126" s="665"/>
      <c r="AP126" s="665"/>
      <c r="AQ126" s="666"/>
      <c r="AR126" s="666">
        <v>3</v>
      </c>
      <c r="AS126" s="674">
        <v>3000</v>
      </c>
      <c r="AT126" s="674">
        <f>AN126-AR126</f>
        <v>2948</v>
      </c>
      <c r="AU126" s="660"/>
      <c r="AV126" s="660"/>
      <c r="AW126" s="147"/>
      <c r="AX126" s="119"/>
    </row>
    <row r="127" spans="1:50" ht="31.5" x14ac:dyDescent="0.25">
      <c r="A127" s="448">
        <v>3</v>
      </c>
      <c r="B127" s="449" t="s">
        <v>1793</v>
      </c>
      <c r="C127" s="450" t="s">
        <v>1692</v>
      </c>
      <c r="D127" s="450" t="s">
        <v>1794</v>
      </c>
      <c r="E127" s="450" t="s">
        <v>1063</v>
      </c>
      <c r="F127" s="450" t="s">
        <v>1795</v>
      </c>
      <c r="G127" s="669">
        <v>1600</v>
      </c>
      <c r="H127" s="669">
        <v>1568</v>
      </c>
      <c r="I127" s="670"/>
      <c r="J127" s="670"/>
      <c r="K127" s="670"/>
      <c r="L127" s="670"/>
      <c r="M127" s="670"/>
      <c r="N127" s="670"/>
      <c r="O127" s="670"/>
      <c r="P127" s="670"/>
      <c r="Q127" s="670"/>
      <c r="R127" s="670"/>
      <c r="S127" s="670"/>
      <c r="T127" s="670"/>
      <c r="U127" s="670"/>
      <c r="V127" s="670"/>
      <c r="W127" s="670"/>
      <c r="X127" s="671">
        <v>1568</v>
      </c>
      <c r="Y127" s="671">
        <v>1568</v>
      </c>
      <c r="Z127" s="673"/>
      <c r="AA127" s="673"/>
      <c r="AB127" s="671"/>
      <c r="AC127" s="669"/>
      <c r="AD127" s="669"/>
      <c r="AE127" s="669"/>
      <c r="AF127" s="669"/>
      <c r="AG127" s="669"/>
      <c r="AH127" s="669"/>
      <c r="AI127" s="669"/>
      <c r="AJ127" s="672"/>
      <c r="AK127" s="673">
        <v>-0.47000000000002728</v>
      </c>
      <c r="AL127" s="673">
        <v>0.47000000000002728</v>
      </c>
      <c r="AM127" s="454">
        <v>1600</v>
      </c>
      <c r="AN127" s="454">
        <v>1567</v>
      </c>
      <c r="AO127" s="665"/>
      <c r="AP127" s="665"/>
      <c r="AQ127" s="666"/>
      <c r="AR127" s="666">
        <v>0.03</v>
      </c>
      <c r="AS127" s="674">
        <v>1600</v>
      </c>
      <c r="AT127" s="674">
        <f t="shared" ref="AT127:AT132" si="17">AN127-AR127</f>
        <v>1566.97</v>
      </c>
      <c r="AU127" s="660"/>
      <c r="AV127" s="660"/>
      <c r="AW127" s="147"/>
      <c r="AX127" s="119"/>
    </row>
    <row r="128" spans="1:50" ht="31.5" x14ac:dyDescent="0.25">
      <c r="A128" s="448">
        <v>4</v>
      </c>
      <c r="B128" s="449" t="s">
        <v>1796</v>
      </c>
      <c r="C128" s="450" t="s">
        <v>1797</v>
      </c>
      <c r="D128" s="450"/>
      <c r="E128" s="450" t="s">
        <v>1084</v>
      </c>
      <c r="F128" s="450"/>
      <c r="G128" s="673"/>
      <c r="H128" s="673"/>
      <c r="I128" s="670"/>
      <c r="J128" s="670"/>
      <c r="K128" s="670"/>
      <c r="L128" s="670"/>
      <c r="M128" s="670"/>
      <c r="N128" s="670"/>
      <c r="O128" s="670"/>
      <c r="P128" s="670"/>
      <c r="Q128" s="670"/>
      <c r="R128" s="670"/>
      <c r="S128" s="670"/>
      <c r="T128" s="670"/>
      <c r="U128" s="670"/>
      <c r="V128" s="670"/>
      <c r="W128" s="670"/>
      <c r="X128" s="671">
        <v>2600</v>
      </c>
      <c r="Y128" s="671">
        <v>2600</v>
      </c>
      <c r="Z128" s="673"/>
      <c r="AA128" s="673"/>
      <c r="AB128" s="671"/>
      <c r="AC128" s="669"/>
      <c r="AD128" s="669"/>
      <c r="AE128" s="669"/>
      <c r="AF128" s="669"/>
      <c r="AG128" s="669"/>
      <c r="AH128" s="669"/>
      <c r="AI128" s="669"/>
      <c r="AJ128" s="672"/>
      <c r="AK128" s="673"/>
      <c r="AL128" s="673">
        <v>15</v>
      </c>
      <c r="AM128" s="454">
        <v>2600</v>
      </c>
      <c r="AN128" s="454">
        <v>2585</v>
      </c>
      <c r="AO128" s="665"/>
      <c r="AP128" s="665"/>
      <c r="AQ128" s="666"/>
      <c r="AR128" s="666">
        <v>126</v>
      </c>
      <c r="AS128" s="674">
        <v>2600</v>
      </c>
      <c r="AT128" s="674">
        <f t="shared" si="17"/>
        <v>2459</v>
      </c>
      <c r="AU128" s="660"/>
      <c r="AV128" s="660"/>
      <c r="AW128" s="147"/>
      <c r="AX128" s="119"/>
    </row>
    <row r="129" spans="1:50" ht="47.25" x14ac:dyDescent="0.25">
      <c r="A129" s="448">
        <v>5</v>
      </c>
      <c r="B129" s="449" t="s">
        <v>1798</v>
      </c>
      <c r="C129" s="450" t="s">
        <v>1799</v>
      </c>
      <c r="D129" s="450"/>
      <c r="E129" s="450" t="s">
        <v>1084</v>
      </c>
      <c r="F129" s="450"/>
      <c r="G129" s="673"/>
      <c r="H129" s="673"/>
      <c r="I129" s="670"/>
      <c r="J129" s="670"/>
      <c r="K129" s="670"/>
      <c r="L129" s="670"/>
      <c r="M129" s="670"/>
      <c r="N129" s="670"/>
      <c r="O129" s="670"/>
      <c r="P129" s="670"/>
      <c r="Q129" s="670"/>
      <c r="R129" s="670"/>
      <c r="S129" s="670"/>
      <c r="T129" s="670"/>
      <c r="U129" s="670"/>
      <c r="V129" s="670"/>
      <c r="W129" s="670"/>
      <c r="X129" s="671">
        <v>4000</v>
      </c>
      <c r="Y129" s="671">
        <v>4000</v>
      </c>
      <c r="Z129" s="673"/>
      <c r="AA129" s="673"/>
      <c r="AB129" s="671"/>
      <c r="AC129" s="669"/>
      <c r="AD129" s="669"/>
      <c r="AE129" s="669"/>
      <c r="AF129" s="669"/>
      <c r="AG129" s="669"/>
      <c r="AH129" s="669"/>
      <c r="AI129" s="669"/>
      <c r="AJ129" s="672"/>
      <c r="AK129" s="673"/>
      <c r="AL129" s="673">
        <v>89</v>
      </c>
      <c r="AM129" s="454">
        <v>4000</v>
      </c>
      <c r="AN129" s="454">
        <v>3911</v>
      </c>
      <c r="AO129" s="665"/>
      <c r="AP129" s="665"/>
      <c r="AQ129" s="666"/>
      <c r="AR129" s="666">
        <v>374</v>
      </c>
      <c r="AS129" s="674">
        <v>4000</v>
      </c>
      <c r="AT129" s="674">
        <f t="shared" si="17"/>
        <v>3537</v>
      </c>
      <c r="AU129" s="660"/>
      <c r="AV129" s="660"/>
      <c r="AW129" s="147"/>
      <c r="AX129" s="119"/>
    </row>
    <row r="130" spans="1:50" ht="31.5" x14ac:dyDescent="0.25">
      <c r="A130" s="448">
        <v>6</v>
      </c>
      <c r="B130" s="449" t="s">
        <v>1800</v>
      </c>
      <c r="C130" s="450" t="s">
        <v>1801</v>
      </c>
      <c r="D130" s="450"/>
      <c r="E130" s="450" t="s">
        <v>1084</v>
      </c>
      <c r="F130" s="450"/>
      <c r="G130" s="673"/>
      <c r="H130" s="673"/>
      <c r="I130" s="670"/>
      <c r="J130" s="670"/>
      <c r="K130" s="670"/>
      <c r="L130" s="670"/>
      <c r="M130" s="670"/>
      <c r="N130" s="670"/>
      <c r="O130" s="670"/>
      <c r="P130" s="670"/>
      <c r="Q130" s="670"/>
      <c r="R130" s="670"/>
      <c r="S130" s="670"/>
      <c r="T130" s="670"/>
      <c r="U130" s="670"/>
      <c r="V130" s="670"/>
      <c r="W130" s="670"/>
      <c r="X130" s="671">
        <v>3000</v>
      </c>
      <c r="Y130" s="671">
        <v>3000</v>
      </c>
      <c r="Z130" s="673"/>
      <c r="AA130" s="673"/>
      <c r="AB130" s="671"/>
      <c r="AC130" s="669"/>
      <c r="AD130" s="669"/>
      <c r="AE130" s="669"/>
      <c r="AF130" s="669"/>
      <c r="AG130" s="669"/>
      <c r="AH130" s="669"/>
      <c r="AI130" s="669"/>
      <c r="AJ130" s="672"/>
      <c r="AK130" s="673"/>
      <c r="AL130" s="673">
        <v>20</v>
      </c>
      <c r="AM130" s="454">
        <v>3000</v>
      </c>
      <c r="AN130" s="454">
        <v>2980</v>
      </c>
      <c r="AO130" s="665"/>
      <c r="AP130" s="665"/>
      <c r="AQ130" s="666"/>
      <c r="AR130" s="666">
        <v>649</v>
      </c>
      <c r="AS130" s="674">
        <v>3000</v>
      </c>
      <c r="AT130" s="674">
        <f t="shared" si="17"/>
        <v>2331</v>
      </c>
      <c r="AU130" s="660"/>
      <c r="AV130" s="660"/>
      <c r="AW130" s="147"/>
      <c r="AX130" s="119"/>
    </row>
    <row r="131" spans="1:50" ht="31.5" x14ac:dyDescent="0.25">
      <c r="A131" s="448">
        <v>7</v>
      </c>
      <c r="B131" s="449" t="s">
        <v>1802</v>
      </c>
      <c r="C131" s="450" t="s">
        <v>1803</v>
      </c>
      <c r="D131" s="450"/>
      <c r="E131" s="450" t="s">
        <v>1084</v>
      </c>
      <c r="F131" s="450"/>
      <c r="G131" s="673"/>
      <c r="H131" s="673"/>
      <c r="I131" s="670"/>
      <c r="J131" s="670"/>
      <c r="K131" s="670"/>
      <c r="L131" s="670"/>
      <c r="M131" s="670"/>
      <c r="N131" s="670"/>
      <c r="O131" s="670"/>
      <c r="P131" s="670"/>
      <c r="Q131" s="670"/>
      <c r="R131" s="670"/>
      <c r="S131" s="670"/>
      <c r="T131" s="670"/>
      <c r="U131" s="670"/>
      <c r="V131" s="670"/>
      <c r="W131" s="670"/>
      <c r="X131" s="671">
        <v>1900</v>
      </c>
      <c r="Y131" s="671">
        <v>1900</v>
      </c>
      <c r="Z131" s="673"/>
      <c r="AA131" s="673"/>
      <c r="AB131" s="671"/>
      <c r="AC131" s="669"/>
      <c r="AD131" s="669"/>
      <c r="AE131" s="669"/>
      <c r="AF131" s="669"/>
      <c r="AG131" s="669"/>
      <c r="AH131" s="669"/>
      <c r="AI131" s="669"/>
      <c r="AJ131" s="672"/>
      <c r="AK131" s="673"/>
      <c r="AL131" s="673">
        <v>355</v>
      </c>
      <c r="AM131" s="454">
        <v>1555</v>
      </c>
      <c r="AN131" s="454">
        <v>1545</v>
      </c>
      <c r="AO131" s="665"/>
      <c r="AP131" s="665"/>
      <c r="AQ131" s="666">
        <v>2</v>
      </c>
      <c r="AR131" s="666"/>
      <c r="AS131" s="674">
        <v>1555</v>
      </c>
      <c r="AT131" s="674">
        <f>AN131+AQ131</f>
        <v>1547</v>
      </c>
      <c r="AU131" s="660"/>
      <c r="AV131" s="660"/>
      <c r="AW131" s="147"/>
      <c r="AX131" s="119"/>
    </row>
    <row r="132" spans="1:50" ht="31.5" x14ac:dyDescent="0.25">
      <c r="A132" s="448">
        <v>8</v>
      </c>
      <c r="B132" s="449" t="s">
        <v>1804</v>
      </c>
      <c r="C132" s="450" t="s">
        <v>1805</v>
      </c>
      <c r="D132" s="450"/>
      <c r="E132" s="450" t="s">
        <v>1084</v>
      </c>
      <c r="F132" s="450"/>
      <c r="G132" s="673"/>
      <c r="H132" s="673"/>
      <c r="I132" s="670"/>
      <c r="J132" s="670"/>
      <c r="K132" s="670"/>
      <c r="L132" s="670"/>
      <c r="M132" s="670"/>
      <c r="N132" s="670"/>
      <c r="O132" s="670"/>
      <c r="P132" s="670"/>
      <c r="Q132" s="670"/>
      <c r="R132" s="670"/>
      <c r="S132" s="670"/>
      <c r="T132" s="670"/>
      <c r="U132" s="670"/>
      <c r="V132" s="670"/>
      <c r="W132" s="670"/>
      <c r="X132" s="671">
        <v>3760</v>
      </c>
      <c r="Y132" s="671">
        <v>3760</v>
      </c>
      <c r="Z132" s="673"/>
      <c r="AA132" s="673"/>
      <c r="AB132" s="671"/>
      <c r="AC132" s="669"/>
      <c r="AD132" s="669"/>
      <c r="AE132" s="669"/>
      <c r="AF132" s="669"/>
      <c r="AG132" s="669"/>
      <c r="AH132" s="669"/>
      <c r="AI132" s="669"/>
      <c r="AJ132" s="672"/>
      <c r="AK132" s="673"/>
      <c r="AL132" s="673">
        <v>20</v>
      </c>
      <c r="AM132" s="454">
        <v>3760</v>
      </c>
      <c r="AN132" s="454">
        <v>3740</v>
      </c>
      <c r="AO132" s="665"/>
      <c r="AP132" s="665"/>
      <c r="AQ132" s="666"/>
      <c r="AR132" s="666">
        <v>203</v>
      </c>
      <c r="AS132" s="674">
        <v>3760</v>
      </c>
      <c r="AT132" s="674">
        <f t="shared" si="17"/>
        <v>3537</v>
      </c>
      <c r="AU132" s="660"/>
      <c r="AV132" s="660"/>
      <c r="AW132" s="5"/>
      <c r="AX132" s="119"/>
    </row>
    <row r="133" spans="1:50" ht="47.25" x14ac:dyDescent="0.25">
      <c r="A133" s="448">
        <v>9</v>
      </c>
      <c r="B133" s="449" t="s">
        <v>1806</v>
      </c>
      <c r="C133" s="450" t="s">
        <v>1807</v>
      </c>
      <c r="D133" s="450" t="s">
        <v>1808</v>
      </c>
      <c r="E133" s="450" t="s">
        <v>65</v>
      </c>
      <c r="F133" s="450"/>
      <c r="G133" s="673"/>
      <c r="H133" s="673"/>
      <c r="I133" s="670"/>
      <c r="J133" s="670"/>
      <c r="K133" s="670"/>
      <c r="L133" s="670"/>
      <c r="M133" s="670"/>
      <c r="N133" s="670"/>
      <c r="O133" s="670"/>
      <c r="P133" s="670"/>
      <c r="Q133" s="670"/>
      <c r="R133" s="670"/>
      <c r="S133" s="670"/>
      <c r="T133" s="670"/>
      <c r="U133" s="670"/>
      <c r="V133" s="670"/>
      <c r="W133" s="670"/>
      <c r="X133" s="671">
        <v>3017</v>
      </c>
      <c r="Y133" s="671">
        <v>3017</v>
      </c>
      <c r="Z133" s="673"/>
      <c r="AA133" s="673"/>
      <c r="AB133" s="671"/>
      <c r="AC133" s="669"/>
      <c r="AD133" s="669"/>
      <c r="AE133" s="669"/>
      <c r="AF133" s="669"/>
      <c r="AG133" s="669"/>
      <c r="AH133" s="669"/>
      <c r="AI133" s="669"/>
      <c r="AJ133" s="672"/>
      <c r="AK133" s="673">
        <v>0</v>
      </c>
      <c r="AL133" s="673">
        <v>0</v>
      </c>
      <c r="AM133" s="454">
        <v>3047</v>
      </c>
      <c r="AN133" s="454">
        <v>3017</v>
      </c>
      <c r="AO133" s="665"/>
      <c r="AP133" s="665"/>
      <c r="AQ133" s="666"/>
      <c r="AR133" s="666"/>
      <c r="AS133" s="674">
        <v>3047</v>
      </c>
      <c r="AT133" s="674">
        <v>3017</v>
      </c>
      <c r="AU133" s="660"/>
      <c r="AV133" s="660"/>
      <c r="AW133" s="5"/>
      <c r="AX133" s="119"/>
    </row>
    <row r="134" spans="1:50" ht="31.5" x14ac:dyDescent="0.25">
      <c r="A134" s="448">
        <v>10</v>
      </c>
      <c r="B134" s="449" t="s">
        <v>1809</v>
      </c>
      <c r="C134" s="450" t="s">
        <v>1805</v>
      </c>
      <c r="D134" s="450" t="s">
        <v>1415</v>
      </c>
      <c r="E134" s="450" t="s">
        <v>65</v>
      </c>
      <c r="F134" s="450"/>
      <c r="G134" s="673"/>
      <c r="H134" s="673"/>
      <c r="I134" s="670"/>
      <c r="J134" s="670"/>
      <c r="K134" s="670"/>
      <c r="L134" s="670"/>
      <c r="M134" s="670"/>
      <c r="N134" s="670"/>
      <c r="O134" s="670"/>
      <c r="P134" s="670"/>
      <c r="Q134" s="670"/>
      <c r="R134" s="670"/>
      <c r="S134" s="670"/>
      <c r="T134" s="670"/>
      <c r="U134" s="670"/>
      <c r="V134" s="670"/>
      <c r="W134" s="670"/>
      <c r="X134" s="671">
        <v>2500</v>
      </c>
      <c r="Y134" s="671">
        <v>2500</v>
      </c>
      <c r="Z134" s="673"/>
      <c r="AA134" s="673"/>
      <c r="AB134" s="671"/>
      <c r="AC134" s="669"/>
      <c r="AD134" s="669"/>
      <c r="AE134" s="669"/>
      <c r="AF134" s="669"/>
      <c r="AG134" s="669"/>
      <c r="AH134" s="669"/>
      <c r="AI134" s="669"/>
      <c r="AJ134" s="672"/>
      <c r="AK134" s="673">
        <v>0</v>
      </c>
      <c r="AL134" s="673">
        <v>0</v>
      </c>
      <c r="AM134" s="454">
        <v>2525</v>
      </c>
      <c r="AN134" s="454">
        <v>2500</v>
      </c>
      <c r="AO134" s="665"/>
      <c r="AP134" s="665"/>
      <c r="AQ134" s="666"/>
      <c r="AR134" s="666"/>
      <c r="AS134" s="674">
        <v>2525</v>
      </c>
      <c r="AT134" s="674">
        <v>2500</v>
      </c>
      <c r="AU134" s="660"/>
      <c r="AV134" s="660"/>
      <c r="AW134" s="5"/>
      <c r="AX134" s="119"/>
    </row>
    <row r="135" spans="1:50" ht="47.25" x14ac:dyDescent="0.25">
      <c r="A135" s="448">
        <v>11</v>
      </c>
      <c r="B135" s="449" t="s">
        <v>1810</v>
      </c>
      <c r="C135" s="450" t="s">
        <v>1807</v>
      </c>
      <c r="D135" s="450" t="s">
        <v>518</v>
      </c>
      <c r="E135" s="450" t="s">
        <v>65</v>
      </c>
      <c r="F135" s="450"/>
      <c r="G135" s="673"/>
      <c r="H135" s="673"/>
      <c r="I135" s="670"/>
      <c r="J135" s="670"/>
      <c r="K135" s="670"/>
      <c r="L135" s="670"/>
      <c r="M135" s="670"/>
      <c r="N135" s="670"/>
      <c r="O135" s="670"/>
      <c r="P135" s="670"/>
      <c r="Q135" s="670"/>
      <c r="R135" s="670"/>
      <c r="S135" s="670"/>
      <c r="T135" s="670"/>
      <c r="U135" s="670"/>
      <c r="V135" s="670"/>
      <c r="W135" s="670"/>
      <c r="X135" s="671">
        <v>2000</v>
      </c>
      <c r="Y135" s="671">
        <v>2000</v>
      </c>
      <c r="Z135" s="673"/>
      <c r="AA135" s="673"/>
      <c r="AB135" s="671"/>
      <c r="AC135" s="669"/>
      <c r="AD135" s="669"/>
      <c r="AE135" s="669"/>
      <c r="AF135" s="669"/>
      <c r="AG135" s="669"/>
      <c r="AH135" s="669"/>
      <c r="AI135" s="669"/>
      <c r="AJ135" s="672"/>
      <c r="AK135" s="673"/>
      <c r="AL135" s="673">
        <v>200</v>
      </c>
      <c r="AM135" s="454">
        <v>1820</v>
      </c>
      <c r="AN135" s="454">
        <v>1800</v>
      </c>
      <c r="AO135" s="665"/>
      <c r="AP135" s="665"/>
      <c r="AQ135" s="666"/>
      <c r="AR135" s="666"/>
      <c r="AS135" s="674">
        <v>1820</v>
      </c>
      <c r="AT135" s="674">
        <v>1800</v>
      </c>
      <c r="AU135" s="660"/>
      <c r="AV135" s="660"/>
      <c r="AW135" s="5"/>
      <c r="AX135" s="119"/>
    </row>
    <row r="136" spans="1:50" ht="47.25" x14ac:dyDescent="0.25">
      <c r="A136" s="448">
        <v>12</v>
      </c>
      <c r="B136" s="449" t="s">
        <v>1811</v>
      </c>
      <c r="C136" s="450" t="s">
        <v>1812</v>
      </c>
      <c r="D136" s="450" t="s">
        <v>479</v>
      </c>
      <c r="E136" s="450" t="s">
        <v>65</v>
      </c>
      <c r="F136" s="450"/>
      <c r="G136" s="673"/>
      <c r="H136" s="673"/>
      <c r="I136" s="670"/>
      <c r="J136" s="670"/>
      <c r="K136" s="670"/>
      <c r="L136" s="670"/>
      <c r="M136" s="670"/>
      <c r="N136" s="670"/>
      <c r="O136" s="670"/>
      <c r="P136" s="670"/>
      <c r="Q136" s="670"/>
      <c r="R136" s="670"/>
      <c r="S136" s="670"/>
      <c r="T136" s="670"/>
      <c r="U136" s="670"/>
      <c r="V136" s="670"/>
      <c r="W136" s="670"/>
      <c r="X136" s="671">
        <v>4000</v>
      </c>
      <c r="Y136" s="671">
        <v>4000</v>
      </c>
      <c r="Z136" s="673"/>
      <c r="AA136" s="673"/>
      <c r="AB136" s="671"/>
      <c r="AC136" s="669"/>
      <c r="AD136" s="669"/>
      <c r="AE136" s="669"/>
      <c r="AF136" s="669"/>
      <c r="AG136" s="669"/>
      <c r="AH136" s="669"/>
      <c r="AI136" s="669"/>
      <c r="AJ136" s="672"/>
      <c r="AK136" s="673"/>
      <c r="AL136" s="673">
        <v>4000</v>
      </c>
      <c r="AM136" s="454"/>
      <c r="AN136" s="454"/>
      <c r="AO136" s="665"/>
      <c r="AP136" s="665"/>
      <c r="AQ136" s="666"/>
      <c r="AR136" s="666"/>
      <c r="AS136" s="674"/>
      <c r="AT136" s="674"/>
      <c r="AU136" s="660"/>
      <c r="AV136" s="660"/>
      <c r="AW136" s="5"/>
      <c r="AX136" s="119"/>
    </row>
    <row r="137" spans="1:50" s="14" customFormat="1" ht="26.45" customHeight="1" x14ac:dyDescent="0.25">
      <c r="A137" s="448">
        <v>13</v>
      </c>
      <c r="B137" s="449" t="s">
        <v>1813</v>
      </c>
      <c r="C137" s="450" t="s">
        <v>1805</v>
      </c>
      <c r="D137" s="450" t="s">
        <v>1814</v>
      </c>
      <c r="E137" s="450" t="s">
        <v>65</v>
      </c>
      <c r="F137" s="450"/>
      <c r="G137" s="673"/>
      <c r="H137" s="673"/>
      <c r="I137" s="670"/>
      <c r="J137" s="670"/>
      <c r="K137" s="670"/>
      <c r="L137" s="670"/>
      <c r="M137" s="670"/>
      <c r="N137" s="670"/>
      <c r="O137" s="670"/>
      <c r="P137" s="670"/>
      <c r="Q137" s="670"/>
      <c r="R137" s="670"/>
      <c r="S137" s="670"/>
      <c r="T137" s="670"/>
      <c r="U137" s="670"/>
      <c r="V137" s="670"/>
      <c r="W137" s="670"/>
      <c r="X137" s="671">
        <v>3500</v>
      </c>
      <c r="Y137" s="671">
        <v>3500</v>
      </c>
      <c r="Z137" s="673"/>
      <c r="AA137" s="673"/>
      <c r="AB137" s="671"/>
      <c r="AC137" s="669"/>
      <c r="AD137" s="669"/>
      <c r="AE137" s="669"/>
      <c r="AF137" s="669"/>
      <c r="AG137" s="669"/>
      <c r="AH137" s="669"/>
      <c r="AI137" s="669"/>
      <c r="AJ137" s="672"/>
      <c r="AK137" s="673"/>
      <c r="AL137" s="673">
        <v>549</v>
      </c>
      <c r="AM137" s="454">
        <v>2981</v>
      </c>
      <c r="AN137" s="454">
        <v>2951</v>
      </c>
      <c r="AO137" s="665"/>
      <c r="AP137" s="665"/>
      <c r="AQ137" s="666"/>
      <c r="AR137" s="666"/>
      <c r="AS137" s="55">
        <v>2981</v>
      </c>
      <c r="AT137" s="55">
        <v>2951</v>
      </c>
      <c r="AU137" s="278"/>
      <c r="AV137" s="278"/>
      <c r="AW137" s="225"/>
    </row>
    <row r="138" spans="1:50" ht="47.25" x14ac:dyDescent="0.25">
      <c r="A138" s="448">
        <v>14</v>
      </c>
      <c r="B138" s="449" t="s">
        <v>1815</v>
      </c>
      <c r="C138" s="450" t="s">
        <v>1807</v>
      </c>
      <c r="D138" s="450" t="s">
        <v>1057</v>
      </c>
      <c r="E138" s="450" t="s">
        <v>65</v>
      </c>
      <c r="F138" s="450"/>
      <c r="G138" s="673"/>
      <c r="H138" s="673"/>
      <c r="I138" s="670"/>
      <c r="J138" s="670"/>
      <c r="K138" s="670"/>
      <c r="L138" s="670"/>
      <c r="M138" s="670"/>
      <c r="N138" s="670"/>
      <c r="O138" s="670"/>
      <c r="P138" s="670"/>
      <c r="Q138" s="670"/>
      <c r="R138" s="670"/>
      <c r="S138" s="670"/>
      <c r="T138" s="670"/>
      <c r="U138" s="670"/>
      <c r="V138" s="670"/>
      <c r="W138" s="670"/>
      <c r="X138" s="671">
        <v>2294</v>
      </c>
      <c r="Y138" s="671">
        <v>2294</v>
      </c>
      <c r="Z138" s="673"/>
      <c r="AA138" s="673"/>
      <c r="AB138" s="671"/>
      <c r="AC138" s="669"/>
      <c r="AD138" s="669"/>
      <c r="AE138" s="669"/>
      <c r="AF138" s="669"/>
      <c r="AG138" s="669"/>
      <c r="AH138" s="669"/>
      <c r="AI138" s="669"/>
      <c r="AJ138" s="672"/>
      <c r="AK138" s="673">
        <v>632</v>
      </c>
      <c r="AL138" s="673"/>
      <c r="AM138" s="454">
        <v>2994</v>
      </c>
      <c r="AN138" s="454">
        <v>2926</v>
      </c>
      <c r="AO138" s="665"/>
      <c r="AP138" s="665"/>
      <c r="AQ138" s="666"/>
      <c r="AR138" s="666">
        <v>149</v>
      </c>
      <c r="AS138" s="674">
        <v>2994</v>
      </c>
      <c r="AT138" s="674">
        <f t="shared" ref="AT138:AT140" si="18">AN138-AR138</f>
        <v>2777</v>
      </c>
      <c r="AU138" s="660"/>
      <c r="AV138" s="660"/>
      <c r="AW138" s="147"/>
      <c r="AX138" s="119"/>
    </row>
    <row r="139" spans="1:50" ht="45" customHeight="1" x14ac:dyDescent="0.25">
      <c r="A139" s="448">
        <v>15</v>
      </c>
      <c r="B139" s="449" t="s">
        <v>1816</v>
      </c>
      <c r="C139" s="450" t="s">
        <v>1791</v>
      </c>
      <c r="D139" s="450" t="s">
        <v>499</v>
      </c>
      <c r="E139" s="450" t="s">
        <v>65</v>
      </c>
      <c r="F139" s="450"/>
      <c r="G139" s="673"/>
      <c r="H139" s="673"/>
      <c r="I139" s="670"/>
      <c r="J139" s="670"/>
      <c r="K139" s="670"/>
      <c r="L139" s="670"/>
      <c r="M139" s="670"/>
      <c r="N139" s="670"/>
      <c r="O139" s="670"/>
      <c r="P139" s="670"/>
      <c r="Q139" s="670"/>
      <c r="R139" s="670"/>
      <c r="S139" s="670"/>
      <c r="T139" s="670"/>
      <c r="U139" s="670"/>
      <c r="V139" s="670"/>
      <c r="W139" s="670"/>
      <c r="X139" s="671">
        <v>2500</v>
      </c>
      <c r="Y139" s="671">
        <v>2500</v>
      </c>
      <c r="Z139" s="673"/>
      <c r="AA139" s="673"/>
      <c r="AB139" s="671"/>
      <c r="AC139" s="669"/>
      <c r="AD139" s="669"/>
      <c r="AE139" s="669"/>
      <c r="AF139" s="669"/>
      <c r="AG139" s="669"/>
      <c r="AH139" s="669"/>
      <c r="AI139" s="669"/>
      <c r="AJ139" s="672"/>
      <c r="AK139" s="673"/>
      <c r="AL139" s="673">
        <v>2500</v>
      </c>
      <c r="AM139" s="454"/>
      <c r="AN139" s="454"/>
      <c r="AO139" s="665"/>
      <c r="AP139" s="665"/>
      <c r="AQ139" s="666"/>
      <c r="AR139" s="666"/>
      <c r="AS139" s="706"/>
      <c r="AT139" s="706"/>
      <c r="AU139" s="707"/>
      <c r="AV139" s="707"/>
      <c r="AW139" s="74"/>
      <c r="AX139" s="119"/>
    </row>
    <row r="140" spans="1:50" ht="31.5" x14ac:dyDescent="0.25">
      <c r="A140" s="448">
        <v>16</v>
      </c>
      <c r="B140" s="449" t="s">
        <v>1817</v>
      </c>
      <c r="C140" s="450" t="s">
        <v>87</v>
      </c>
      <c r="D140" s="450" t="s">
        <v>69</v>
      </c>
      <c r="E140" s="450" t="s">
        <v>65</v>
      </c>
      <c r="F140" s="450"/>
      <c r="G140" s="673"/>
      <c r="H140" s="673"/>
      <c r="I140" s="670"/>
      <c r="J140" s="670"/>
      <c r="K140" s="670"/>
      <c r="L140" s="670"/>
      <c r="M140" s="670"/>
      <c r="N140" s="670"/>
      <c r="O140" s="670"/>
      <c r="P140" s="670"/>
      <c r="Q140" s="670"/>
      <c r="R140" s="670"/>
      <c r="S140" s="670"/>
      <c r="T140" s="670"/>
      <c r="U140" s="670"/>
      <c r="V140" s="670"/>
      <c r="W140" s="670"/>
      <c r="X140" s="671">
        <v>4500</v>
      </c>
      <c r="Y140" s="671">
        <v>4500</v>
      </c>
      <c r="Z140" s="673"/>
      <c r="AA140" s="673"/>
      <c r="AB140" s="671"/>
      <c r="AC140" s="669"/>
      <c r="AD140" s="669"/>
      <c r="AE140" s="669"/>
      <c r="AF140" s="669"/>
      <c r="AG140" s="669"/>
      <c r="AH140" s="669"/>
      <c r="AI140" s="669"/>
      <c r="AJ140" s="672"/>
      <c r="AK140" s="673"/>
      <c r="AL140" s="673">
        <v>25</v>
      </c>
      <c r="AM140" s="454">
        <v>4500</v>
      </c>
      <c r="AN140" s="454">
        <v>4475</v>
      </c>
      <c r="AO140" s="665"/>
      <c r="AP140" s="665"/>
      <c r="AQ140" s="666"/>
      <c r="AR140" s="666">
        <v>265</v>
      </c>
      <c r="AS140" s="674">
        <v>4500</v>
      </c>
      <c r="AT140" s="674">
        <f t="shared" si="18"/>
        <v>4210</v>
      </c>
      <c r="AU140" s="660"/>
      <c r="AV140" s="660"/>
      <c r="AW140" s="147"/>
      <c r="AX140" s="119"/>
    </row>
    <row r="141" spans="1:50" ht="26.25" customHeight="1" x14ac:dyDescent="0.25">
      <c r="A141" s="448" t="s">
        <v>730</v>
      </c>
      <c r="B141" s="449" t="s">
        <v>1818</v>
      </c>
      <c r="C141" s="450"/>
      <c r="D141" s="450"/>
      <c r="E141" s="450"/>
      <c r="F141" s="450"/>
      <c r="G141" s="673"/>
      <c r="H141" s="673"/>
      <c r="I141" s="670"/>
      <c r="J141" s="670"/>
      <c r="K141" s="670"/>
      <c r="L141" s="670"/>
      <c r="M141" s="670"/>
      <c r="N141" s="670"/>
      <c r="O141" s="670"/>
      <c r="P141" s="670"/>
      <c r="Q141" s="670"/>
      <c r="R141" s="670"/>
      <c r="S141" s="670"/>
      <c r="T141" s="670"/>
      <c r="U141" s="670"/>
      <c r="V141" s="670"/>
      <c r="W141" s="670"/>
      <c r="X141" s="671"/>
      <c r="Y141" s="671"/>
      <c r="Z141" s="673"/>
      <c r="AA141" s="673"/>
      <c r="AB141" s="671"/>
      <c r="AC141" s="669"/>
      <c r="AD141" s="669"/>
      <c r="AE141" s="669"/>
      <c r="AF141" s="669"/>
      <c r="AG141" s="669"/>
      <c r="AH141" s="669"/>
      <c r="AI141" s="669"/>
      <c r="AJ141" s="672"/>
      <c r="AK141" s="673"/>
      <c r="AL141" s="673"/>
      <c r="AM141" s="454"/>
      <c r="AN141" s="454"/>
      <c r="AO141" s="665"/>
      <c r="AP141" s="665"/>
      <c r="AQ141" s="666"/>
      <c r="AR141" s="666"/>
      <c r="AS141" s="674"/>
      <c r="AT141" s="674"/>
      <c r="AU141" s="660"/>
      <c r="AV141" s="660"/>
      <c r="AW141" s="147"/>
      <c r="AX141" s="119"/>
    </row>
    <row r="142" spans="1:50" ht="31.5" x14ac:dyDescent="0.25">
      <c r="A142" s="448" t="s">
        <v>688</v>
      </c>
      <c r="B142" s="449" t="s">
        <v>1819</v>
      </c>
      <c r="C142" s="450"/>
      <c r="D142" s="450"/>
      <c r="E142" s="450"/>
      <c r="F142" s="450"/>
      <c r="G142" s="673"/>
      <c r="H142" s="673"/>
      <c r="I142" s="670"/>
      <c r="J142" s="670"/>
      <c r="K142" s="670"/>
      <c r="L142" s="670"/>
      <c r="M142" s="670"/>
      <c r="N142" s="670"/>
      <c r="O142" s="670"/>
      <c r="P142" s="670"/>
      <c r="Q142" s="670"/>
      <c r="R142" s="670"/>
      <c r="S142" s="670"/>
      <c r="T142" s="670"/>
      <c r="U142" s="670"/>
      <c r="V142" s="670"/>
      <c r="W142" s="670"/>
      <c r="X142" s="671"/>
      <c r="Y142" s="671"/>
      <c r="Z142" s="673"/>
      <c r="AA142" s="673"/>
      <c r="AB142" s="671"/>
      <c r="AC142" s="669"/>
      <c r="AD142" s="669"/>
      <c r="AE142" s="669"/>
      <c r="AF142" s="669"/>
      <c r="AG142" s="669"/>
      <c r="AH142" s="669"/>
      <c r="AI142" s="669"/>
      <c r="AJ142" s="672"/>
      <c r="AK142" s="673"/>
      <c r="AL142" s="673"/>
      <c r="AM142" s="454"/>
      <c r="AN142" s="454"/>
      <c r="AO142" s="665"/>
      <c r="AP142" s="665"/>
      <c r="AQ142" s="666">
        <v>1767</v>
      </c>
      <c r="AR142" s="666"/>
      <c r="AS142" s="674">
        <v>1800</v>
      </c>
      <c r="AT142" s="674">
        <v>1767</v>
      </c>
      <c r="AU142" s="660"/>
      <c r="AV142" s="660"/>
      <c r="AW142" s="147"/>
      <c r="AX142" s="119"/>
    </row>
    <row r="143" spans="1:50" ht="25.5" customHeight="1" x14ac:dyDescent="0.25">
      <c r="A143" s="646" t="s">
        <v>1820</v>
      </c>
      <c r="B143" s="647" t="s">
        <v>1821</v>
      </c>
      <c r="C143" s="464"/>
      <c r="D143" s="464"/>
      <c r="E143" s="613"/>
      <c r="F143" s="464"/>
      <c r="G143" s="664">
        <v>72969.000000196</v>
      </c>
      <c r="H143" s="664">
        <v>54384.000000196</v>
      </c>
      <c r="I143" s="659"/>
      <c r="J143" s="659"/>
      <c r="K143" s="659"/>
      <c r="L143" s="659"/>
      <c r="M143" s="659"/>
      <c r="N143" s="659"/>
      <c r="O143" s="659"/>
      <c r="P143" s="659"/>
      <c r="Q143" s="659"/>
      <c r="R143" s="659"/>
      <c r="S143" s="659"/>
      <c r="T143" s="659"/>
      <c r="U143" s="659"/>
      <c r="V143" s="659"/>
      <c r="W143" s="659"/>
      <c r="X143" s="708">
        <v>74671</v>
      </c>
      <c r="Y143" s="708">
        <v>74671</v>
      </c>
      <c r="Z143" s="708">
        <v>0</v>
      </c>
      <c r="AA143" s="708">
        <v>0</v>
      </c>
      <c r="AB143" s="708">
        <v>0</v>
      </c>
      <c r="AC143" s="708">
        <v>0</v>
      </c>
      <c r="AD143" s="708">
        <v>0</v>
      </c>
      <c r="AE143" s="708">
        <v>0</v>
      </c>
      <c r="AF143" s="708">
        <v>0</v>
      </c>
      <c r="AG143" s="708">
        <v>0</v>
      </c>
      <c r="AH143" s="708">
        <v>0</v>
      </c>
      <c r="AI143" s="708">
        <v>0</v>
      </c>
      <c r="AJ143" s="708">
        <v>0</v>
      </c>
      <c r="AK143" s="708">
        <v>256</v>
      </c>
      <c r="AL143" s="708">
        <v>15354</v>
      </c>
      <c r="AM143" s="709">
        <f t="shared" ref="AM143:AV143" si="19">AM144+AM145</f>
        <v>59927</v>
      </c>
      <c r="AN143" s="709">
        <f t="shared" si="19"/>
        <v>59573</v>
      </c>
      <c r="AO143" s="709">
        <f t="shared" si="19"/>
        <v>0</v>
      </c>
      <c r="AP143" s="709">
        <f t="shared" si="19"/>
        <v>0</v>
      </c>
      <c r="AQ143" s="709">
        <f t="shared" si="19"/>
        <v>2026</v>
      </c>
      <c r="AR143" s="709">
        <f t="shared" si="19"/>
        <v>2026</v>
      </c>
      <c r="AS143" s="709">
        <f t="shared" si="19"/>
        <v>63227</v>
      </c>
      <c r="AT143" s="709">
        <f t="shared" si="19"/>
        <v>59573</v>
      </c>
      <c r="AU143" s="709">
        <f t="shared" si="19"/>
        <v>0</v>
      </c>
      <c r="AV143" s="709">
        <f t="shared" si="19"/>
        <v>0</v>
      </c>
      <c r="AW143" s="147"/>
      <c r="AX143" s="119"/>
    </row>
    <row r="144" spans="1:50" ht="31.5" x14ac:dyDescent="0.25">
      <c r="A144" s="710" t="s">
        <v>100</v>
      </c>
      <c r="B144" s="711" t="s">
        <v>1822</v>
      </c>
      <c r="C144" s="450"/>
      <c r="D144" s="450"/>
      <c r="E144" s="450"/>
      <c r="F144" s="450"/>
      <c r="G144" s="673"/>
      <c r="H144" s="673"/>
      <c r="I144" s="670"/>
      <c r="J144" s="670"/>
      <c r="K144" s="670"/>
      <c r="L144" s="670"/>
      <c r="M144" s="670"/>
      <c r="N144" s="670"/>
      <c r="O144" s="670"/>
      <c r="P144" s="670"/>
      <c r="Q144" s="670"/>
      <c r="R144" s="670"/>
      <c r="S144" s="670"/>
      <c r="T144" s="670"/>
      <c r="U144" s="670"/>
      <c r="V144" s="670"/>
      <c r="W144" s="670"/>
      <c r="X144" s="712">
        <v>9560</v>
      </c>
      <c r="Y144" s="662">
        <v>9560</v>
      </c>
      <c r="Z144" s="673"/>
      <c r="AA144" s="673"/>
      <c r="AB144" s="671"/>
      <c r="AC144" s="669"/>
      <c r="AD144" s="669"/>
      <c r="AE144" s="669"/>
      <c r="AF144" s="669"/>
      <c r="AG144" s="669"/>
      <c r="AH144" s="669"/>
      <c r="AI144" s="669"/>
      <c r="AJ144" s="672"/>
      <c r="AK144" s="673"/>
      <c r="AL144" s="673"/>
      <c r="AM144" s="454">
        <v>9560</v>
      </c>
      <c r="AN144" s="454">
        <v>9560</v>
      </c>
      <c r="AO144" s="665"/>
      <c r="AP144" s="665"/>
      <c r="AQ144" s="666"/>
      <c r="AR144" s="666"/>
      <c r="AS144" s="674">
        <v>9560</v>
      </c>
      <c r="AT144" s="674">
        <v>9560</v>
      </c>
      <c r="AU144" s="660"/>
      <c r="AV144" s="660"/>
      <c r="AW144" s="147"/>
      <c r="AX144" s="119"/>
    </row>
    <row r="145" spans="1:50" ht="31.5" x14ac:dyDescent="0.25">
      <c r="A145" s="710" t="s">
        <v>102</v>
      </c>
      <c r="B145" s="713" t="s">
        <v>1823</v>
      </c>
      <c r="C145" s="519"/>
      <c r="D145" s="450"/>
      <c r="E145" s="450"/>
      <c r="F145" s="450"/>
      <c r="G145" s="673"/>
      <c r="H145" s="673"/>
      <c r="I145" s="670"/>
      <c r="J145" s="670"/>
      <c r="K145" s="670"/>
      <c r="L145" s="670"/>
      <c r="M145" s="670"/>
      <c r="N145" s="670"/>
      <c r="O145" s="670"/>
      <c r="P145" s="670"/>
      <c r="Q145" s="670"/>
      <c r="R145" s="670"/>
      <c r="S145" s="670"/>
      <c r="T145" s="670"/>
      <c r="U145" s="670"/>
      <c r="V145" s="670"/>
      <c r="W145" s="670"/>
      <c r="X145" s="712">
        <v>65111</v>
      </c>
      <c r="Y145" s="712">
        <v>65111</v>
      </c>
      <c r="Z145" s="712">
        <v>0</v>
      </c>
      <c r="AA145" s="712">
        <v>0</v>
      </c>
      <c r="AB145" s="712">
        <v>0</v>
      </c>
      <c r="AC145" s="712">
        <v>0</v>
      </c>
      <c r="AD145" s="712">
        <v>0</v>
      </c>
      <c r="AE145" s="712">
        <v>0</v>
      </c>
      <c r="AF145" s="712">
        <v>0</v>
      </c>
      <c r="AG145" s="712">
        <v>0</v>
      </c>
      <c r="AH145" s="712">
        <v>0</v>
      </c>
      <c r="AI145" s="712">
        <v>0</v>
      </c>
      <c r="AJ145" s="712">
        <v>0</v>
      </c>
      <c r="AK145" s="712">
        <v>256</v>
      </c>
      <c r="AL145" s="712">
        <v>15354</v>
      </c>
      <c r="AM145" s="714">
        <f>+SUM(AM146:AM180)</f>
        <v>50367</v>
      </c>
      <c r="AN145" s="714">
        <f>+SUM(AN146:AN180)</f>
        <v>50013</v>
      </c>
      <c r="AO145" s="714">
        <f t="shared" ref="AO145:AV145" si="20">+SUM(AO146:AO180)</f>
        <v>0</v>
      </c>
      <c r="AP145" s="714">
        <f t="shared" si="20"/>
        <v>0</v>
      </c>
      <c r="AQ145" s="714">
        <f t="shared" si="20"/>
        <v>2026</v>
      </c>
      <c r="AR145" s="714">
        <f t="shared" si="20"/>
        <v>2026</v>
      </c>
      <c r="AS145" s="714">
        <f t="shared" si="20"/>
        <v>53667</v>
      </c>
      <c r="AT145" s="714">
        <f t="shared" si="20"/>
        <v>50013</v>
      </c>
      <c r="AU145" s="714">
        <f t="shared" si="20"/>
        <v>0</v>
      </c>
      <c r="AV145" s="714">
        <f t="shared" si="20"/>
        <v>0</v>
      </c>
      <c r="AW145" s="147"/>
      <c r="AX145" s="119"/>
    </row>
    <row r="146" spans="1:50" ht="31.5" x14ac:dyDescent="0.25">
      <c r="A146" s="715">
        <v>1</v>
      </c>
      <c r="B146" s="716" t="s">
        <v>1824</v>
      </c>
      <c r="C146" s="717"/>
      <c r="D146" s="717"/>
      <c r="E146" s="717"/>
      <c r="F146" s="717"/>
      <c r="G146" s="718"/>
      <c r="H146" s="718"/>
      <c r="I146" s="719"/>
      <c r="J146" s="719"/>
      <c r="K146" s="719"/>
      <c r="L146" s="719"/>
      <c r="M146" s="719"/>
      <c r="N146" s="719"/>
      <c r="O146" s="719"/>
      <c r="P146" s="719"/>
      <c r="Q146" s="719"/>
      <c r="R146" s="719"/>
      <c r="S146" s="719"/>
      <c r="T146" s="719"/>
      <c r="U146" s="719"/>
      <c r="V146" s="719"/>
      <c r="W146" s="719"/>
      <c r="X146" s="720">
        <v>3500</v>
      </c>
      <c r="Y146" s="720">
        <v>3500</v>
      </c>
      <c r="Z146" s="718"/>
      <c r="AA146" s="718"/>
      <c r="AB146" s="720"/>
      <c r="AC146" s="721"/>
      <c r="AD146" s="721"/>
      <c r="AE146" s="721"/>
      <c r="AF146" s="721"/>
      <c r="AG146" s="721"/>
      <c r="AH146" s="721"/>
      <c r="AI146" s="721"/>
      <c r="AJ146" s="722"/>
      <c r="AK146" s="718">
        <v>0</v>
      </c>
      <c r="AL146" s="718">
        <v>0</v>
      </c>
      <c r="AM146" s="723">
        <v>3500</v>
      </c>
      <c r="AN146" s="723">
        <v>3500</v>
      </c>
      <c r="AO146" s="724"/>
      <c r="AP146" s="724"/>
      <c r="AQ146" s="725"/>
      <c r="AR146" s="725">
        <v>75</v>
      </c>
      <c r="AS146" s="674">
        <v>3500</v>
      </c>
      <c r="AT146" s="674">
        <v>3425</v>
      </c>
      <c r="AU146" s="660"/>
      <c r="AV146" s="660"/>
      <c r="AW146" s="147"/>
      <c r="AX146" s="119"/>
    </row>
    <row r="147" spans="1:50" ht="31.5" x14ac:dyDescent="0.25">
      <c r="A147" s="726">
        <v>2</v>
      </c>
      <c r="B147" s="716" t="s">
        <v>1825</v>
      </c>
      <c r="C147" s="727"/>
      <c r="D147" s="717"/>
      <c r="E147" s="717"/>
      <c r="F147" s="717"/>
      <c r="G147" s="718"/>
      <c r="H147" s="718"/>
      <c r="I147" s="719"/>
      <c r="J147" s="719"/>
      <c r="K147" s="719"/>
      <c r="L147" s="719"/>
      <c r="M147" s="719"/>
      <c r="N147" s="719"/>
      <c r="O147" s="719"/>
      <c r="P147" s="719"/>
      <c r="Q147" s="719"/>
      <c r="R147" s="719"/>
      <c r="S147" s="719"/>
      <c r="T147" s="719"/>
      <c r="U147" s="719"/>
      <c r="V147" s="719"/>
      <c r="W147" s="719"/>
      <c r="X147" s="720">
        <v>4400</v>
      </c>
      <c r="Y147" s="720">
        <v>4400</v>
      </c>
      <c r="Z147" s="718"/>
      <c r="AA147" s="718"/>
      <c r="AB147" s="720"/>
      <c r="AC147" s="721"/>
      <c r="AD147" s="721"/>
      <c r="AE147" s="721"/>
      <c r="AF147" s="721"/>
      <c r="AG147" s="721"/>
      <c r="AH147" s="721"/>
      <c r="AI147" s="721"/>
      <c r="AJ147" s="722"/>
      <c r="AK147" s="718">
        <v>100</v>
      </c>
      <c r="AL147" s="718"/>
      <c r="AM147" s="728">
        <v>4500</v>
      </c>
      <c r="AN147" s="728">
        <v>4500</v>
      </c>
      <c r="AO147" s="724"/>
      <c r="AP147" s="724"/>
      <c r="AQ147" s="725"/>
      <c r="AR147" s="725">
        <v>626</v>
      </c>
      <c r="AS147" s="674">
        <v>4500</v>
      </c>
      <c r="AT147" s="674">
        <v>3874</v>
      </c>
      <c r="AU147" s="660"/>
      <c r="AV147" s="660"/>
      <c r="AW147" s="147"/>
      <c r="AX147" s="119"/>
    </row>
    <row r="148" spans="1:50" ht="31.5" x14ac:dyDescent="0.25">
      <c r="A148" s="715">
        <v>3</v>
      </c>
      <c r="B148" s="716" t="s">
        <v>1826</v>
      </c>
      <c r="C148" s="717"/>
      <c r="D148" s="717"/>
      <c r="E148" s="717"/>
      <c r="F148" s="717"/>
      <c r="G148" s="718"/>
      <c r="H148" s="718"/>
      <c r="I148" s="719"/>
      <c r="J148" s="719"/>
      <c r="K148" s="719"/>
      <c r="L148" s="719"/>
      <c r="M148" s="719"/>
      <c r="N148" s="719"/>
      <c r="O148" s="719"/>
      <c r="P148" s="719"/>
      <c r="Q148" s="719"/>
      <c r="R148" s="719"/>
      <c r="S148" s="719"/>
      <c r="T148" s="719"/>
      <c r="U148" s="719"/>
      <c r="V148" s="719"/>
      <c r="W148" s="719"/>
      <c r="X148" s="720">
        <v>987</v>
      </c>
      <c r="Y148" s="720">
        <v>987</v>
      </c>
      <c r="Z148" s="718"/>
      <c r="AA148" s="718"/>
      <c r="AB148" s="720"/>
      <c r="AC148" s="721"/>
      <c r="AD148" s="721"/>
      <c r="AE148" s="721"/>
      <c r="AF148" s="721"/>
      <c r="AG148" s="721"/>
      <c r="AH148" s="721"/>
      <c r="AI148" s="721"/>
      <c r="AJ148" s="722"/>
      <c r="AK148" s="718">
        <v>13</v>
      </c>
      <c r="AL148" s="718"/>
      <c r="AM148" s="728">
        <v>1000</v>
      </c>
      <c r="AN148" s="728">
        <v>1000</v>
      </c>
      <c r="AO148" s="724"/>
      <c r="AP148" s="724"/>
      <c r="AQ148" s="725"/>
      <c r="AR148" s="725">
        <v>6</v>
      </c>
      <c r="AS148" s="674">
        <v>1000</v>
      </c>
      <c r="AT148" s="674">
        <v>994</v>
      </c>
      <c r="AU148" s="660"/>
      <c r="AV148" s="660"/>
      <c r="AW148" s="147"/>
      <c r="AX148" s="119"/>
    </row>
    <row r="149" spans="1:50" ht="31.5" x14ac:dyDescent="0.25">
      <c r="A149" s="715">
        <v>4</v>
      </c>
      <c r="B149" s="716" t="s">
        <v>1827</v>
      </c>
      <c r="C149" s="717"/>
      <c r="D149" s="717"/>
      <c r="E149" s="717"/>
      <c r="F149" s="717"/>
      <c r="G149" s="718"/>
      <c r="H149" s="718"/>
      <c r="I149" s="719"/>
      <c r="J149" s="719"/>
      <c r="K149" s="719"/>
      <c r="L149" s="719"/>
      <c r="M149" s="719"/>
      <c r="N149" s="719"/>
      <c r="O149" s="719"/>
      <c r="P149" s="719"/>
      <c r="Q149" s="719"/>
      <c r="R149" s="719"/>
      <c r="S149" s="719"/>
      <c r="T149" s="719"/>
      <c r="U149" s="719"/>
      <c r="V149" s="719"/>
      <c r="W149" s="719"/>
      <c r="X149" s="720">
        <v>3457</v>
      </c>
      <c r="Y149" s="720">
        <v>3457</v>
      </c>
      <c r="Z149" s="718"/>
      <c r="AA149" s="718"/>
      <c r="AB149" s="720"/>
      <c r="AC149" s="721"/>
      <c r="AD149" s="721"/>
      <c r="AE149" s="721"/>
      <c r="AF149" s="721"/>
      <c r="AG149" s="721"/>
      <c r="AH149" s="721"/>
      <c r="AI149" s="721"/>
      <c r="AJ149" s="722"/>
      <c r="AK149" s="718">
        <v>43</v>
      </c>
      <c r="AL149" s="718"/>
      <c r="AM149" s="728">
        <v>3500</v>
      </c>
      <c r="AN149" s="728">
        <v>3500</v>
      </c>
      <c r="AO149" s="724"/>
      <c r="AP149" s="724"/>
      <c r="AQ149" s="725"/>
      <c r="AR149" s="725">
        <v>356</v>
      </c>
      <c r="AS149" s="674">
        <v>3500</v>
      </c>
      <c r="AT149" s="674">
        <v>3144</v>
      </c>
      <c r="AU149" s="660"/>
      <c r="AV149" s="660"/>
      <c r="AW149" s="147"/>
      <c r="AX149" s="119"/>
    </row>
    <row r="150" spans="1:50" ht="31.5" x14ac:dyDescent="0.25">
      <c r="A150" s="715">
        <v>5</v>
      </c>
      <c r="B150" s="716" t="s">
        <v>1828</v>
      </c>
      <c r="C150" s="727"/>
      <c r="D150" s="717"/>
      <c r="E150" s="717"/>
      <c r="F150" s="717"/>
      <c r="G150" s="718"/>
      <c r="H150" s="718"/>
      <c r="I150" s="719"/>
      <c r="J150" s="719"/>
      <c r="K150" s="719"/>
      <c r="L150" s="719"/>
      <c r="M150" s="719"/>
      <c r="N150" s="719"/>
      <c r="O150" s="719"/>
      <c r="P150" s="719"/>
      <c r="Q150" s="719"/>
      <c r="R150" s="719"/>
      <c r="S150" s="719"/>
      <c r="T150" s="719"/>
      <c r="U150" s="719"/>
      <c r="V150" s="719"/>
      <c r="W150" s="719"/>
      <c r="X150" s="720">
        <v>2900</v>
      </c>
      <c r="Y150" s="720">
        <v>2900</v>
      </c>
      <c r="Z150" s="718"/>
      <c r="AA150" s="718"/>
      <c r="AB150" s="720"/>
      <c r="AC150" s="721"/>
      <c r="AD150" s="721"/>
      <c r="AE150" s="721"/>
      <c r="AF150" s="721"/>
      <c r="AG150" s="721"/>
      <c r="AH150" s="721"/>
      <c r="AI150" s="721"/>
      <c r="AJ150" s="722"/>
      <c r="AK150" s="718">
        <v>100</v>
      </c>
      <c r="AL150" s="718"/>
      <c r="AM150" s="728">
        <v>3000</v>
      </c>
      <c r="AN150" s="728">
        <v>3000</v>
      </c>
      <c r="AO150" s="724"/>
      <c r="AP150" s="724"/>
      <c r="AQ150" s="725"/>
      <c r="AR150" s="725">
        <v>108</v>
      </c>
      <c r="AS150" s="674">
        <v>3000</v>
      </c>
      <c r="AT150" s="674">
        <v>2892</v>
      </c>
      <c r="AU150" s="660"/>
      <c r="AV150" s="660"/>
      <c r="AW150" s="147"/>
      <c r="AX150" s="119"/>
    </row>
    <row r="151" spans="1:50" ht="31.5" x14ac:dyDescent="0.25">
      <c r="A151" s="726">
        <v>6</v>
      </c>
      <c r="B151" s="716" t="s">
        <v>1829</v>
      </c>
      <c r="C151" s="729"/>
      <c r="D151" s="729"/>
      <c r="E151" s="729"/>
      <c r="F151" s="717"/>
      <c r="G151" s="718"/>
      <c r="H151" s="718"/>
      <c r="I151" s="719"/>
      <c r="J151" s="719"/>
      <c r="K151" s="719"/>
      <c r="L151" s="719"/>
      <c r="M151" s="719"/>
      <c r="N151" s="719"/>
      <c r="O151" s="719"/>
      <c r="P151" s="719"/>
      <c r="Q151" s="719"/>
      <c r="R151" s="719"/>
      <c r="S151" s="719"/>
      <c r="T151" s="719"/>
      <c r="U151" s="719"/>
      <c r="V151" s="719"/>
      <c r="W151" s="719"/>
      <c r="X151" s="721">
        <v>4500</v>
      </c>
      <c r="Y151" s="721">
        <v>4500</v>
      </c>
      <c r="Z151" s="718"/>
      <c r="AA151" s="718"/>
      <c r="AB151" s="720"/>
      <c r="AC151" s="721"/>
      <c r="AD151" s="721"/>
      <c r="AE151" s="721"/>
      <c r="AF151" s="721"/>
      <c r="AG151" s="721"/>
      <c r="AH151" s="721"/>
      <c r="AI151" s="721"/>
      <c r="AJ151" s="722"/>
      <c r="AK151" s="718"/>
      <c r="AL151" s="718">
        <v>25</v>
      </c>
      <c r="AM151" s="730">
        <v>4500</v>
      </c>
      <c r="AN151" s="730">
        <v>4475</v>
      </c>
      <c r="AO151" s="724"/>
      <c r="AP151" s="724"/>
      <c r="AQ151" s="725"/>
      <c r="AR151" s="725">
        <v>135</v>
      </c>
      <c r="AS151" s="674">
        <v>4500</v>
      </c>
      <c r="AT151" s="674">
        <v>4340</v>
      </c>
      <c r="AU151" s="660"/>
      <c r="AV151" s="660"/>
      <c r="AW151" s="147"/>
      <c r="AX151" s="119"/>
    </row>
    <row r="152" spans="1:50" ht="31.5" x14ac:dyDescent="0.25">
      <c r="A152" s="715">
        <v>7</v>
      </c>
      <c r="B152" s="716" t="s">
        <v>1830</v>
      </c>
      <c r="C152" s="731"/>
      <c r="D152" s="731"/>
      <c r="E152" s="731"/>
      <c r="F152" s="717"/>
      <c r="G152" s="718"/>
      <c r="H152" s="718"/>
      <c r="I152" s="719"/>
      <c r="J152" s="719"/>
      <c r="K152" s="719"/>
      <c r="L152" s="719"/>
      <c r="M152" s="719"/>
      <c r="N152" s="719"/>
      <c r="O152" s="719"/>
      <c r="P152" s="719"/>
      <c r="Q152" s="719"/>
      <c r="R152" s="719"/>
      <c r="S152" s="719"/>
      <c r="T152" s="719"/>
      <c r="U152" s="719"/>
      <c r="V152" s="719"/>
      <c r="W152" s="719"/>
      <c r="X152" s="732">
        <v>4500</v>
      </c>
      <c r="Y152" s="732">
        <v>4500</v>
      </c>
      <c r="Z152" s="718"/>
      <c r="AA152" s="718"/>
      <c r="AB152" s="720"/>
      <c r="AC152" s="721"/>
      <c r="AD152" s="721"/>
      <c r="AE152" s="721"/>
      <c r="AF152" s="721"/>
      <c r="AG152" s="721"/>
      <c r="AH152" s="721"/>
      <c r="AI152" s="721"/>
      <c r="AJ152" s="722"/>
      <c r="AK152" s="718"/>
      <c r="AL152" s="718">
        <v>25</v>
      </c>
      <c r="AM152" s="733">
        <v>4500</v>
      </c>
      <c r="AN152" s="733">
        <v>4475</v>
      </c>
      <c r="AO152" s="724"/>
      <c r="AP152" s="724"/>
      <c r="AQ152" s="725"/>
      <c r="AR152" s="725">
        <v>35</v>
      </c>
      <c r="AS152" s="674">
        <v>4500</v>
      </c>
      <c r="AT152" s="674">
        <v>4440</v>
      </c>
      <c r="AU152" s="660"/>
      <c r="AV152" s="660"/>
      <c r="AW152" s="147"/>
      <c r="AX152" s="119"/>
    </row>
    <row r="153" spans="1:50" ht="31.5" x14ac:dyDescent="0.25">
      <c r="A153" s="715">
        <v>8</v>
      </c>
      <c r="B153" s="716" t="s">
        <v>1831</v>
      </c>
      <c r="C153" s="471"/>
      <c r="D153" s="471"/>
      <c r="E153" s="471"/>
      <c r="F153" s="450"/>
      <c r="G153" s="673"/>
      <c r="H153" s="673"/>
      <c r="I153" s="670"/>
      <c r="J153" s="670"/>
      <c r="K153" s="670"/>
      <c r="L153" s="670"/>
      <c r="M153" s="670"/>
      <c r="N153" s="670"/>
      <c r="O153" s="670"/>
      <c r="P153" s="670"/>
      <c r="Q153" s="670"/>
      <c r="R153" s="670"/>
      <c r="S153" s="670"/>
      <c r="T153" s="670"/>
      <c r="U153" s="670"/>
      <c r="V153" s="670"/>
      <c r="W153" s="670"/>
      <c r="X153" s="680">
        <v>3500</v>
      </c>
      <c r="Y153" s="680">
        <v>3500</v>
      </c>
      <c r="Z153" s="673"/>
      <c r="AA153" s="673"/>
      <c r="AB153" s="671"/>
      <c r="AC153" s="669"/>
      <c r="AD153" s="669"/>
      <c r="AE153" s="669"/>
      <c r="AF153" s="669"/>
      <c r="AG153" s="669"/>
      <c r="AH153" s="669"/>
      <c r="AI153" s="669"/>
      <c r="AJ153" s="672"/>
      <c r="AK153" s="673"/>
      <c r="AL153" s="673">
        <v>20</v>
      </c>
      <c r="AM153" s="472">
        <v>3500</v>
      </c>
      <c r="AN153" s="472">
        <v>3480</v>
      </c>
      <c r="AO153" s="665"/>
      <c r="AP153" s="665"/>
      <c r="AQ153" s="666"/>
      <c r="AR153" s="666"/>
      <c r="AS153" s="674">
        <v>3500</v>
      </c>
      <c r="AT153" s="674">
        <v>3480</v>
      </c>
      <c r="AU153" s="660"/>
      <c r="AV153" s="660"/>
      <c r="AW153" s="147"/>
      <c r="AX153" s="119"/>
    </row>
    <row r="154" spans="1:50" ht="31.5" x14ac:dyDescent="0.25">
      <c r="A154" s="715">
        <v>9</v>
      </c>
      <c r="B154" s="716" t="s">
        <v>1832</v>
      </c>
      <c r="C154" s="717"/>
      <c r="D154" s="717"/>
      <c r="E154" s="717"/>
      <c r="F154" s="717"/>
      <c r="G154" s="718"/>
      <c r="H154" s="718"/>
      <c r="I154" s="719"/>
      <c r="J154" s="719"/>
      <c r="K154" s="719"/>
      <c r="L154" s="719"/>
      <c r="M154" s="719"/>
      <c r="N154" s="719"/>
      <c r="O154" s="719"/>
      <c r="P154" s="719"/>
      <c r="Q154" s="719"/>
      <c r="R154" s="719"/>
      <c r="S154" s="719"/>
      <c r="T154" s="719"/>
      <c r="U154" s="719"/>
      <c r="V154" s="719"/>
      <c r="W154" s="719"/>
      <c r="X154" s="720">
        <v>4000</v>
      </c>
      <c r="Y154" s="720">
        <v>4000</v>
      </c>
      <c r="Z154" s="718"/>
      <c r="AA154" s="718"/>
      <c r="AB154" s="720"/>
      <c r="AC154" s="721"/>
      <c r="AD154" s="721"/>
      <c r="AE154" s="721"/>
      <c r="AF154" s="721"/>
      <c r="AG154" s="721"/>
      <c r="AH154" s="721"/>
      <c r="AI154" s="721"/>
      <c r="AJ154" s="722"/>
      <c r="AK154" s="718"/>
      <c r="AL154" s="718">
        <v>20</v>
      </c>
      <c r="AM154" s="723">
        <v>4000</v>
      </c>
      <c r="AN154" s="723">
        <v>3980</v>
      </c>
      <c r="AO154" s="724"/>
      <c r="AP154" s="724"/>
      <c r="AQ154" s="725"/>
      <c r="AR154" s="725">
        <v>35</v>
      </c>
      <c r="AS154" s="674">
        <v>4000</v>
      </c>
      <c r="AT154" s="674">
        <v>3945</v>
      </c>
      <c r="AU154" s="660"/>
      <c r="AV154" s="660"/>
      <c r="AW154" s="147"/>
      <c r="AX154" s="119"/>
    </row>
    <row r="155" spans="1:50" x14ac:dyDescent="0.25">
      <c r="A155" s="726">
        <v>10</v>
      </c>
      <c r="B155" s="716" t="s">
        <v>1833</v>
      </c>
      <c r="C155" s="717"/>
      <c r="D155" s="717"/>
      <c r="E155" s="717"/>
      <c r="F155" s="717"/>
      <c r="G155" s="718"/>
      <c r="H155" s="718"/>
      <c r="I155" s="719"/>
      <c r="J155" s="719"/>
      <c r="K155" s="719"/>
      <c r="L155" s="719"/>
      <c r="M155" s="719"/>
      <c r="N155" s="719"/>
      <c r="O155" s="719"/>
      <c r="P155" s="719"/>
      <c r="Q155" s="719"/>
      <c r="R155" s="719"/>
      <c r="S155" s="719"/>
      <c r="T155" s="719"/>
      <c r="U155" s="719"/>
      <c r="V155" s="719"/>
      <c r="W155" s="719"/>
      <c r="X155" s="720">
        <v>3000</v>
      </c>
      <c r="Y155" s="720">
        <v>3000</v>
      </c>
      <c r="Z155" s="718"/>
      <c r="AA155" s="718"/>
      <c r="AB155" s="720"/>
      <c r="AC155" s="721"/>
      <c r="AD155" s="721"/>
      <c r="AE155" s="721"/>
      <c r="AF155" s="721"/>
      <c r="AG155" s="721"/>
      <c r="AH155" s="721"/>
      <c r="AI155" s="721"/>
      <c r="AJ155" s="722"/>
      <c r="AK155" s="718"/>
      <c r="AL155" s="718">
        <v>15</v>
      </c>
      <c r="AM155" s="723">
        <v>3000</v>
      </c>
      <c r="AN155" s="723">
        <v>2985</v>
      </c>
      <c r="AO155" s="724"/>
      <c r="AP155" s="724"/>
      <c r="AQ155" s="725"/>
      <c r="AR155" s="725">
        <v>135</v>
      </c>
      <c r="AS155" s="674">
        <v>3000</v>
      </c>
      <c r="AT155" s="674">
        <v>2850</v>
      </c>
      <c r="AU155" s="660"/>
      <c r="AV155" s="660"/>
      <c r="AW155" s="147"/>
      <c r="AX155" s="119"/>
    </row>
    <row r="156" spans="1:50" ht="31.5" x14ac:dyDescent="0.25">
      <c r="A156" s="715">
        <v>11</v>
      </c>
      <c r="B156" s="716" t="s">
        <v>1834</v>
      </c>
      <c r="C156" s="717"/>
      <c r="D156" s="717"/>
      <c r="E156" s="717"/>
      <c r="F156" s="717"/>
      <c r="G156" s="718"/>
      <c r="H156" s="718"/>
      <c r="I156" s="719"/>
      <c r="J156" s="719"/>
      <c r="K156" s="719"/>
      <c r="L156" s="719"/>
      <c r="M156" s="719"/>
      <c r="N156" s="719"/>
      <c r="O156" s="719"/>
      <c r="P156" s="719"/>
      <c r="Q156" s="719"/>
      <c r="R156" s="719"/>
      <c r="S156" s="719"/>
      <c r="T156" s="719"/>
      <c r="U156" s="719"/>
      <c r="V156" s="719"/>
      <c r="W156" s="719"/>
      <c r="X156" s="734">
        <v>1000</v>
      </c>
      <c r="Y156" s="734">
        <v>1000</v>
      </c>
      <c r="Z156" s="718"/>
      <c r="AA156" s="718"/>
      <c r="AB156" s="720"/>
      <c r="AC156" s="721"/>
      <c r="AD156" s="721"/>
      <c r="AE156" s="721"/>
      <c r="AF156" s="721"/>
      <c r="AG156" s="721"/>
      <c r="AH156" s="721"/>
      <c r="AI156" s="721"/>
      <c r="AJ156" s="722"/>
      <c r="AK156" s="718"/>
      <c r="AL156" s="718">
        <v>10</v>
      </c>
      <c r="AM156" s="723">
        <v>1000</v>
      </c>
      <c r="AN156" s="723">
        <v>990</v>
      </c>
      <c r="AO156" s="724"/>
      <c r="AP156" s="724"/>
      <c r="AQ156" s="725"/>
      <c r="AR156" s="725">
        <v>50</v>
      </c>
      <c r="AS156" s="674">
        <v>1000</v>
      </c>
      <c r="AT156" s="674">
        <v>940</v>
      </c>
      <c r="AU156" s="660"/>
      <c r="AV156" s="660"/>
      <c r="AW156" s="147"/>
      <c r="AX156" s="119"/>
    </row>
    <row r="157" spans="1:50" x14ac:dyDescent="0.25">
      <c r="A157" s="715">
        <v>12</v>
      </c>
      <c r="B157" s="716" t="s">
        <v>1835</v>
      </c>
      <c r="C157" s="717"/>
      <c r="D157" s="717"/>
      <c r="E157" s="717"/>
      <c r="F157" s="717"/>
      <c r="G157" s="718"/>
      <c r="H157" s="718"/>
      <c r="I157" s="719"/>
      <c r="J157" s="719"/>
      <c r="K157" s="719"/>
      <c r="L157" s="719"/>
      <c r="M157" s="719"/>
      <c r="N157" s="719"/>
      <c r="O157" s="719"/>
      <c r="P157" s="719"/>
      <c r="Q157" s="719"/>
      <c r="R157" s="719"/>
      <c r="S157" s="719"/>
      <c r="T157" s="719"/>
      <c r="U157" s="719"/>
      <c r="V157" s="719"/>
      <c r="W157" s="719"/>
      <c r="X157" s="734">
        <v>1000</v>
      </c>
      <c r="Y157" s="734">
        <v>1000</v>
      </c>
      <c r="Z157" s="718"/>
      <c r="AA157" s="718"/>
      <c r="AB157" s="720"/>
      <c r="AC157" s="721"/>
      <c r="AD157" s="721"/>
      <c r="AE157" s="721"/>
      <c r="AF157" s="721"/>
      <c r="AG157" s="721"/>
      <c r="AH157" s="721"/>
      <c r="AI157" s="721"/>
      <c r="AJ157" s="722"/>
      <c r="AK157" s="718"/>
      <c r="AL157" s="718">
        <v>10</v>
      </c>
      <c r="AM157" s="723">
        <v>1000</v>
      </c>
      <c r="AN157" s="723">
        <v>990</v>
      </c>
      <c r="AO157" s="724"/>
      <c r="AP157" s="724"/>
      <c r="AQ157" s="725"/>
      <c r="AR157" s="725">
        <v>36</v>
      </c>
      <c r="AS157" s="674">
        <v>1000</v>
      </c>
      <c r="AT157" s="674">
        <v>954</v>
      </c>
      <c r="AU157" s="660"/>
      <c r="AV157" s="660"/>
      <c r="AW157" s="147"/>
      <c r="AX157" s="119"/>
    </row>
    <row r="158" spans="1:50" x14ac:dyDescent="0.25">
      <c r="A158" s="715">
        <v>13</v>
      </c>
      <c r="B158" s="716" t="s">
        <v>1836</v>
      </c>
      <c r="C158" s="717"/>
      <c r="D158" s="717"/>
      <c r="E158" s="717"/>
      <c r="F158" s="717"/>
      <c r="G158" s="718"/>
      <c r="H158" s="718"/>
      <c r="I158" s="719"/>
      <c r="J158" s="719"/>
      <c r="K158" s="719"/>
      <c r="L158" s="719"/>
      <c r="M158" s="719"/>
      <c r="N158" s="719"/>
      <c r="O158" s="719"/>
      <c r="P158" s="719"/>
      <c r="Q158" s="719"/>
      <c r="R158" s="719"/>
      <c r="S158" s="719"/>
      <c r="T158" s="719"/>
      <c r="U158" s="719"/>
      <c r="V158" s="719"/>
      <c r="W158" s="719"/>
      <c r="X158" s="734">
        <v>1000</v>
      </c>
      <c r="Y158" s="734">
        <v>1000</v>
      </c>
      <c r="Z158" s="718"/>
      <c r="AA158" s="718"/>
      <c r="AB158" s="720"/>
      <c r="AC158" s="721"/>
      <c r="AD158" s="721"/>
      <c r="AE158" s="721"/>
      <c r="AF158" s="721"/>
      <c r="AG158" s="721"/>
      <c r="AH158" s="721"/>
      <c r="AI158" s="721"/>
      <c r="AJ158" s="722"/>
      <c r="AK158" s="718"/>
      <c r="AL158" s="718">
        <v>10</v>
      </c>
      <c r="AM158" s="723">
        <v>1000</v>
      </c>
      <c r="AN158" s="723">
        <v>990</v>
      </c>
      <c r="AO158" s="724"/>
      <c r="AP158" s="724"/>
      <c r="AQ158" s="725"/>
      <c r="AR158" s="725">
        <v>91</v>
      </c>
      <c r="AS158" s="674">
        <v>1000</v>
      </c>
      <c r="AT158" s="674">
        <v>899</v>
      </c>
      <c r="AU158" s="660"/>
      <c r="AV158" s="660"/>
      <c r="AW158" s="147"/>
      <c r="AX158" s="119"/>
    </row>
    <row r="159" spans="1:50" ht="31.5" x14ac:dyDescent="0.25">
      <c r="A159" s="726">
        <v>14</v>
      </c>
      <c r="B159" s="716" t="s">
        <v>1837</v>
      </c>
      <c r="C159" s="717"/>
      <c r="D159" s="717"/>
      <c r="E159" s="717"/>
      <c r="F159" s="717"/>
      <c r="G159" s="718"/>
      <c r="H159" s="718"/>
      <c r="I159" s="719"/>
      <c r="J159" s="719"/>
      <c r="K159" s="719"/>
      <c r="L159" s="719"/>
      <c r="M159" s="719"/>
      <c r="N159" s="719"/>
      <c r="O159" s="719"/>
      <c r="P159" s="719"/>
      <c r="Q159" s="719"/>
      <c r="R159" s="719"/>
      <c r="S159" s="719"/>
      <c r="T159" s="719"/>
      <c r="U159" s="719"/>
      <c r="V159" s="719"/>
      <c r="W159" s="719"/>
      <c r="X159" s="734">
        <v>3000</v>
      </c>
      <c r="Y159" s="734">
        <v>3000</v>
      </c>
      <c r="Z159" s="718"/>
      <c r="AA159" s="718"/>
      <c r="AB159" s="720"/>
      <c r="AC159" s="721"/>
      <c r="AD159" s="721"/>
      <c r="AE159" s="721"/>
      <c r="AF159" s="721"/>
      <c r="AG159" s="721"/>
      <c r="AH159" s="721"/>
      <c r="AI159" s="721"/>
      <c r="AJ159" s="722"/>
      <c r="AK159" s="718"/>
      <c r="AL159" s="718">
        <v>20</v>
      </c>
      <c r="AM159" s="723">
        <v>3000</v>
      </c>
      <c r="AN159" s="723">
        <v>2980</v>
      </c>
      <c r="AO159" s="724"/>
      <c r="AP159" s="724"/>
      <c r="AQ159" s="725"/>
      <c r="AR159" s="725">
        <v>30</v>
      </c>
      <c r="AS159" s="674">
        <v>3000</v>
      </c>
      <c r="AT159" s="674">
        <v>2950</v>
      </c>
      <c r="AU159" s="660"/>
      <c r="AV159" s="660"/>
      <c r="AW159" s="147"/>
      <c r="AX159" s="119"/>
    </row>
    <row r="160" spans="1:50" ht="31.5" x14ac:dyDescent="0.25">
      <c r="A160" s="715">
        <v>15</v>
      </c>
      <c r="B160" s="716" t="s">
        <v>1838</v>
      </c>
      <c r="C160" s="450"/>
      <c r="D160" s="450"/>
      <c r="E160" s="450"/>
      <c r="F160" s="450"/>
      <c r="G160" s="673"/>
      <c r="H160" s="673"/>
      <c r="I160" s="670"/>
      <c r="J160" s="670"/>
      <c r="K160" s="670"/>
      <c r="L160" s="670"/>
      <c r="M160" s="670"/>
      <c r="N160" s="670"/>
      <c r="O160" s="670"/>
      <c r="P160" s="670"/>
      <c r="Q160" s="670"/>
      <c r="R160" s="670"/>
      <c r="S160" s="670"/>
      <c r="T160" s="670"/>
      <c r="U160" s="670"/>
      <c r="V160" s="670"/>
      <c r="W160" s="670"/>
      <c r="X160" s="734">
        <v>1000</v>
      </c>
      <c r="Y160" s="734">
        <v>1000</v>
      </c>
      <c r="Z160" s="673"/>
      <c r="AA160" s="673"/>
      <c r="AB160" s="671"/>
      <c r="AC160" s="669"/>
      <c r="AD160" s="669"/>
      <c r="AE160" s="669"/>
      <c r="AF160" s="669"/>
      <c r="AG160" s="669"/>
      <c r="AH160" s="669"/>
      <c r="AI160" s="669"/>
      <c r="AJ160" s="672"/>
      <c r="AK160" s="673"/>
      <c r="AL160" s="673">
        <v>5</v>
      </c>
      <c r="AM160" s="454">
        <v>1000</v>
      </c>
      <c r="AN160" s="454">
        <v>995</v>
      </c>
      <c r="AO160" s="665"/>
      <c r="AP160" s="665"/>
      <c r="AQ160" s="666"/>
      <c r="AR160" s="666">
        <v>21</v>
      </c>
      <c r="AS160" s="674">
        <v>1000</v>
      </c>
      <c r="AT160" s="674">
        <v>974</v>
      </c>
      <c r="AU160" s="660"/>
      <c r="AV160" s="660"/>
      <c r="AW160" s="147"/>
      <c r="AX160" s="119"/>
    </row>
    <row r="161" spans="1:50" ht="31.5" x14ac:dyDescent="0.25">
      <c r="A161" s="715">
        <v>16</v>
      </c>
      <c r="B161" s="716" t="s">
        <v>1839</v>
      </c>
      <c r="C161" s="717"/>
      <c r="D161" s="717"/>
      <c r="E161" s="717"/>
      <c r="F161" s="717"/>
      <c r="G161" s="718"/>
      <c r="H161" s="718"/>
      <c r="I161" s="719"/>
      <c r="J161" s="719"/>
      <c r="K161" s="719"/>
      <c r="L161" s="719"/>
      <c r="M161" s="719"/>
      <c r="N161" s="719"/>
      <c r="O161" s="719"/>
      <c r="P161" s="719"/>
      <c r="Q161" s="719"/>
      <c r="R161" s="719"/>
      <c r="S161" s="719"/>
      <c r="T161" s="719"/>
      <c r="U161" s="719"/>
      <c r="V161" s="719"/>
      <c r="W161" s="719"/>
      <c r="X161" s="734">
        <v>1000</v>
      </c>
      <c r="Y161" s="734">
        <v>1000</v>
      </c>
      <c r="Z161" s="718"/>
      <c r="AA161" s="718"/>
      <c r="AB161" s="720"/>
      <c r="AC161" s="721"/>
      <c r="AD161" s="721"/>
      <c r="AE161" s="721"/>
      <c r="AF161" s="721"/>
      <c r="AG161" s="721"/>
      <c r="AH161" s="721"/>
      <c r="AI161" s="721"/>
      <c r="AJ161" s="722"/>
      <c r="AK161" s="718"/>
      <c r="AL161" s="718">
        <v>5</v>
      </c>
      <c r="AM161" s="723">
        <v>1000</v>
      </c>
      <c r="AN161" s="723">
        <v>995</v>
      </c>
      <c r="AO161" s="724"/>
      <c r="AP161" s="724"/>
      <c r="AQ161" s="725"/>
      <c r="AR161" s="725">
        <v>29</v>
      </c>
      <c r="AS161" s="674">
        <v>1000</v>
      </c>
      <c r="AT161" s="674">
        <v>966</v>
      </c>
      <c r="AU161" s="660"/>
      <c r="AV161" s="660"/>
      <c r="AW161" s="735"/>
      <c r="AX161" s="119"/>
    </row>
    <row r="162" spans="1:50" ht="31.5" x14ac:dyDescent="0.25">
      <c r="A162" s="715">
        <v>17</v>
      </c>
      <c r="B162" s="716" t="s">
        <v>1840</v>
      </c>
      <c r="C162" s="717"/>
      <c r="D162" s="717"/>
      <c r="E162" s="717"/>
      <c r="F162" s="717"/>
      <c r="G162" s="718"/>
      <c r="H162" s="718"/>
      <c r="I162" s="719"/>
      <c r="J162" s="719"/>
      <c r="K162" s="719"/>
      <c r="L162" s="719"/>
      <c r="M162" s="719"/>
      <c r="N162" s="719"/>
      <c r="O162" s="719"/>
      <c r="P162" s="719"/>
      <c r="Q162" s="719"/>
      <c r="R162" s="719"/>
      <c r="S162" s="719"/>
      <c r="T162" s="719"/>
      <c r="U162" s="719"/>
      <c r="V162" s="719"/>
      <c r="W162" s="719"/>
      <c r="X162" s="734">
        <v>1367</v>
      </c>
      <c r="Y162" s="734">
        <v>1367</v>
      </c>
      <c r="Z162" s="718"/>
      <c r="AA162" s="718"/>
      <c r="AB162" s="720"/>
      <c r="AC162" s="721"/>
      <c r="AD162" s="721"/>
      <c r="AE162" s="721"/>
      <c r="AF162" s="721"/>
      <c r="AG162" s="721"/>
      <c r="AH162" s="721"/>
      <c r="AI162" s="721"/>
      <c r="AJ162" s="722"/>
      <c r="AK162" s="718"/>
      <c r="AL162" s="718">
        <v>5</v>
      </c>
      <c r="AM162" s="723">
        <v>1367</v>
      </c>
      <c r="AN162" s="723">
        <v>1362</v>
      </c>
      <c r="AO162" s="724"/>
      <c r="AP162" s="724"/>
      <c r="AQ162" s="725"/>
      <c r="AR162" s="725">
        <v>41</v>
      </c>
      <c r="AS162" s="674">
        <v>1367</v>
      </c>
      <c r="AT162" s="674">
        <v>1321</v>
      </c>
      <c r="AU162" s="660"/>
      <c r="AV162" s="660"/>
      <c r="AW162" s="735"/>
      <c r="AX162" s="119"/>
    </row>
    <row r="163" spans="1:50" x14ac:dyDescent="0.25">
      <c r="A163" s="726">
        <v>18</v>
      </c>
      <c r="B163" s="716" t="s">
        <v>1841</v>
      </c>
      <c r="C163" s="717"/>
      <c r="D163" s="717"/>
      <c r="E163" s="717"/>
      <c r="F163" s="717"/>
      <c r="G163" s="718"/>
      <c r="H163" s="718"/>
      <c r="I163" s="719"/>
      <c r="J163" s="719"/>
      <c r="K163" s="719"/>
      <c r="L163" s="719"/>
      <c r="M163" s="719"/>
      <c r="N163" s="719"/>
      <c r="O163" s="719"/>
      <c r="P163" s="719"/>
      <c r="Q163" s="719"/>
      <c r="R163" s="719"/>
      <c r="S163" s="719"/>
      <c r="T163" s="719"/>
      <c r="U163" s="719"/>
      <c r="V163" s="719"/>
      <c r="W163" s="719"/>
      <c r="X163" s="734">
        <v>1000</v>
      </c>
      <c r="Y163" s="734">
        <v>1000</v>
      </c>
      <c r="Z163" s="718"/>
      <c r="AA163" s="718"/>
      <c r="AB163" s="720"/>
      <c r="AC163" s="721"/>
      <c r="AD163" s="721"/>
      <c r="AE163" s="721"/>
      <c r="AF163" s="721"/>
      <c r="AG163" s="721"/>
      <c r="AH163" s="721"/>
      <c r="AI163" s="721"/>
      <c r="AJ163" s="722"/>
      <c r="AK163" s="718"/>
      <c r="AL163" s="718">
        <v>5</v>
      </c>
      <c r="AM163" s="723">
        <v>1000</v>
      </c>
      <c r="AN163" s="723">
        <v>995</v>
      </c>
      <c r="AO163" s="724"/>
      <c r="AP163" s="724"/>
      <c r="AQ163" s="725"/>
      <c r="AR163" s="725">
        <v>105</v>
      </c>
      <c r="AS163" s="674">
        <v>1000</v>
      </c>
      <c r="AT163" s="674">
        <v>890</v>
      </c>
      <c r="AU163" s="660"/>
      <c r="AV163" s="660"/>
      <c r="AW163" s="736"/>
      <c r="AX163" s="119"/>
    </row>
    <row r="164" spans="1:50" x14ac:dyDescent="0.25">
      <c r="A164" s="715">
        <v>19</v>
      </c>
      <c r="B164" s="716" t="s">
        <v>1842</v>
      </c>
      <c r="C164" s="717"/>
      <c r="D164" s="717"/>
      <c r="E164" s="717"/>
      <c r="F164" s="717"/>
      <c r="G164" s="718"/>
      <c r="H164" s="718"/>
      <c r="I164" s="719"/>
      <c r="J164" s="719"/>
      <c r="K164" s="719"/>
      <c r="L164" s="719"/>
      <c r="M164" s="719"/>
      <c r="N164" s="719"/>
      <c r="O164" s="719"/>
      <c r="P164" s="719"/>
      <c r="Q164" s="719"/>
      <c r="R164" s="719"/>
      <c r="S164" s="719"/>
      <c r="T164" s="719"/>
      <c r="U164" s="719"/>
      <c r="V164" s="719"/>
      <c r="W164" s="719"/>
      <c r="X164" s="734">
        <v>1000</v>
      </c>
      <c r="Y164" s="734">
        <v>1000</v>
      </c>
      <c r="Z164" s="718"/>
      <c r="AA164" s="718"/>
      <c r="AB164" s="720"/>
      <c r="AC164" s="721"/>
      <c r="AD164" s="721"/>
      <c r="AE164" s="721"/>
      <c r="AF164" s="721"/>
      <c r="AG164" s="721"/>
      <c r="AH164" s="721"/>
      <c r="AI164" s="721"/>
      <c r="AJ164" s="722"/>
      <c r="AK164" s="718"/>
      <c r="AL164" s="718">
        <v>5</v>
      </c>
      <c r="AM164" s="723">
        <v>1000</v>
      </c>
      <c r="AN164" s="723">
        <v>995</v>
      </c>
      <c r="AO164" s="724"/>
      <c r="AP164" s="724"/>
      <c r="AQ164" s="725"/>
      <c r="AR164" s="725">
        <v>22</v>
      </c>
      <c r="AS164" s="674">
        <v>1000</v>
      </c>
      <c r="AT164" s="674">
        <v>973</v>
      </c>
      <c r="AU164" s="660"/>
      <c r="AV164" s="660"/>
      <c r="AW164" s="736"/>
      <c r="AX164" s="119"/>
    </row>
    <row r="165" spans="1:50" ht="31.5" x14ac:dyDescent="0.25">
      <c r="A165" s="715">
        <v>20</v>
      </c>
      <c r="B165" s="716" t="s">
        <v>1843</v>
      </c>
      <c r="C165" s="717"/>
      <c r="D165" s="717"/>
      <c r="E165" s="717"/>
      <c r="F165" s="717"/>
      <c r="G165" s="718"/>
      <c r="H165" s="718"/>
      <c r="I165" s="719"/>
      <c r="J165" s="719"/>
      <c r="K165" s="719"/>
      <c r="L165" s="719"/>
      <c r="M165" s="719"/>
      <c r="N165" s="719"/>
      <c r="O165" s="719"/>
      <c r="P165" s="719"/>
      <c r="Q165" s="719"/>
      <c r="R165" s="719"/>
      <c r="S165" s="719"/>
      <c r="T165" s="719"/>
      <c r="U165" s="719"/>
      <c r="V165" s="719"/>
      <c r="W165" s="719"/>
      <c r="X165" s="734">
        <v>1000</v>
      </c>
      <c r="Y165" s="734">
        <v>1000</v>
      </c>
      <c r="Z165" s="718"/>
      <c r="AA165" s="718"/>
      <c r="AB165" s="720"/>
      <c r="AC165" s="721"/>
      <c r="AD165" s="721"/>
      <c r="AE165" s="721"/>
      <c r="AF165" s="721"/>
      <c r="AG165" s="721"/>
      <c r="AH165" s="721"/>
      <c r="AI165" s="721"/>
      <c r="AJ165" s="722"/>
      <c r="AK165" s="718"/>
      <c r="AL165" s="718">
        <v>5</v>
      </c>
      <c r="AM165" s="723">
        <v>1000</v>
      </c>
      <c r="AN165" s="723">
        <v>995</v>
      </c>
      <c r="AO165" s="724"/>
      <c r="AP165" s="724"/>
      <c r="AQ165" s="725"/>
      <c r="AR165" s="725">
        <v>50</v>
      </c>
      <c r="AS165" s="674">
        <v>1000</v>
      </c>
      <c r="AT165" s="674">
        <v>945</v>
      </c>
      <c r="AU165" s="660"/>
      <c r="AV165" s="660"/>
      <c r="AW165" s="736"/>
      <c r="AX165" s="119"/>
    </row>
    <row r="166" spans="1:50" x14ac:dyDescent="0.25">
      <c r="A166" s="715">
        <v>21</v>
      </c>
      <c r="B166" s="716" t="s">
        <v>1844</v>
      </c>
      <c r="C166" s="717"/>
      <c r="D166" s="717"/>
      <c r="E166" s="717"/>
      <c r="F166" s="717"/>
      <c r="G166" s="718"/>
      <c r="H166" s="718"/>
      <c r="I166" s="719"/>
      <c r="J166" s="719"/>
      <c r="K166" s="719"/>
      <c r="L166" s="719"/>
      <c r="M166" s="719"/>
      <c r="N166" s="719"/>
      <c r="O166" s="719"/>
      <c r="P166" s="719"/>
      <c r="Q166" s="719"/>
      <c r="R166" s="719"/>
      <c r="S166" s="719"/>
      <c r="T166" s="719"/>
      <c r="U166" s="719"/>
      <c r="V166" s="719"/>
      <c r="W166" s="719"/>
      <c r="X166" s="734">
        <v>1000</v>
      </c>
      <c r="Y166" s="734">
        <v>1000</v>
      </c>
      <c r="Z166" s="718"/>
      <c r="AA166" s="718"/>
      <c r="AB166" s="720"/>
      <c r="AC166" s="721"/>
      <c r="AD166" s="721"/>
      <c r="AE166" s="721"/>
      <c r="AF166" s="721"/>
      <c r="AG166" s="721"/>
      <c r="AH166" s="721"/>
      <c r="AI166" s="721"/>
      <c r="AJ166" s="722"/>
      <c r="AK166" s="718"/>
      <c r="AL166" s="718">
        <v>5</v>
      </c>
      <c r="AM166" s="723">
        <v>1000</v>
      </c>
      <c r="AN166" s="723">
        <v>995</v>
      </c>
      <c r="AO166" s="724"/>
      <c r="AP166" s="724"/>
      <c r="AQ166" s="725"/>
      <c r="AR166" s="725">
        <v>20</v>
      </c>
      <c r="AS166" s="674">
        <v>1000</v>
      </c>
      <c r="AT166" s="674">
        <v>975</v>
      </c>
      <c r="AU166" s="660"/>
      <c r="AV166" s="660"/>
      <c r="AW166" s="643"/>
      <c r="AX166" s="119"/>
    </row>
    <row r="167" spans="1:50" ht="31.5" x14ac:dyDescent="0.25">
      <c r="A167" s="726">
        <v>22</v>
      </c>
      <c r="B167" s="716" t="s">
        <v>1845</v>
      </c>
      <c r="C167" s="717"/>
      <c r="D167" s="717"/>
      <c r="E167" s="717"/>
      <c r="F167" s="717"/>
      <c r="G167" s="718"/>
      <c r="H167" s="718"/>
      <c r="I167" s="719"/>
      <c r="J167" s="719"/>
      <c r="K167" s="719"/>
      <c r="L167" s="719"/>
      <c r="M167" s="719"/>
      <c r="N167" s="719"/>
      <c r="O167" s="719"/>
      <c r="P167" s="719"/>
      <c r="Q167" s="719"/>
      <c r="R167" s="719"/>
      <c r="S167" s="719"/>
      <c r="T167" s="719"/>
      <c r="U167" s="719"/>
      <c r="V167" s="719"/>
      <c r="W167" s="719"/>
      <c r="X167" s="734">
        <v>1000</v>
      </c>
      <c r="Y167" s="734">
        <v>1000</v>
      </c>
      <c r="Z167" s="718"/>
      <c r="AA167" s="718"/>
      <c r="AB167" s="720"/>
      <c r="AC167" s="721"/>
      <c r="AD167" s="721"/>
      <c r="AE167" s="721"/>
      <c r="AF167" s="721"/>
      <c r="AG167" s="721"/>
      <c r="AH167" s="721"/>
      <c r="AI167" s="721"/>
      <c r="AJ167" s="722"/>
      <c r="AK167" s="718"/>
      <c r="AL167" s="718">
        <v>5</v>
      </c>
      <c r="AM167" s="723">
        <v>1000</v>
      </c>
      <c r="AN167" s="723">
        <v>995</v>
      </c>
      <c r="AO167" s="724"/>
      <c r="AP167" s="724"/>
      <c r="AQ167" s="725"/>
      <c r="AR167" s="725">
        <v>20</v>
      </c>
      <c r="AS167" s="674">
        <v>1000</v>
      </c>
      <c r="AT167" s="674">
        <v>975</v>
      </c>
      <c r="AU167" s="660"/>
      <c r="AV167" s="660"/>
      <c r="AW167" s="643"/>
      <c r="AX167" s="119"/>
    </row>
    <row r="168" spans="1:50" ht="31.5" x14ac:dyDescent="0.25">
      <c r="A168" s="715">
        <v>23</v>
      </c>
      <c r="B168" s="716" t="s">
        <v>1846</v>
      </c>
      <c r="C168" s="450"/>
      <c r="D168" s="450"/>
      <c r="E168" s="450"/>
      <c r="F168" s="450"/>
      <c r="G168" s="673"/>
      <c r="H168" s="673"/>
      <c r="I168" s="670"/>
      <c r="J168" s="670"/>
      <c r="K168" s="670"/>
      <c r="L168" s="670"/>
      <c r="M168" s="670"/>
      <c r="N168" s="670"/>
      <c r="O168" s="670"/>
      <c r="P168" s="670"/>
      <c r="Q168" s="670"/>
      <c r="R168" s="670"/>
      <c r="S168" s="670"/>
      <c r="T168" s="670"/>
      <c r="U168" s="670"/>
      <c r="V168" s="670"/>
      <c r="W168" s="670"/>
      <c r="X168" s="734">
        <v>1000</v>
      </c>
      <c r="Y168" s="734">
        <v>1000</v>
      </c>
      <c r="Z168" s="673"/>
      <c r="AA168" s="673"/>
      <c r="AB168" s="671"/>
      <c r="AC168" s="669"/>
      <c r="AD168" s="669"/>
      <c r="AE168" s="669"/>
      <c r="AF168" s="669"/>
      <c r="AG168" s="669"/>
      <c r="AH168" s="669"/>
      <c r="AI168" s="669"/>
      <c r="AJ168" s="672"/>
      <c r="AK168" s="673"/>
      <c r="AL168" s="673">
        <v>159</v>
      </c>
      <c r="AM168" s="454">
        <v>1000</v>
      </c>
      <c r="AN168" s="454">
        <v>841</v>
      </c>
      <c r="AO168" s="665"/>
      <c r="AP168" s="665"/>
      <c r="AQ168" s="666">
        <v>109</v>
      </c>
      <c r="AR168" s="666"/>
      <c r="AS168" s="674">
        <v>1000</v>
      </c>
      <c r="AT168" s="674">
        <v>950</v>
      </c>
      <c r="AU168" s="660"/>
      <c r="AV168" s="660"/>
      <c r="AW168" s="643"/>
      <c r="AX168" s="119"/>
    </row>
    <row r="169" spans="1:50" ht="31.5" x14ac:dyDescent="0.25">
      <c r="A169" s="715">
        <v>24</v>
      </c>
      <c r="B169" s="716" t="s">
        <v>1847</v>
      </c>
      <c r="C169" s="450"/>
      <c r="D169" s="450"/>
      <c r="E169" s="450"/>
      <c r="F169" s="450"/>
      <c r="G169" s="673"/>
      <c r="H169" s="673"/>
      <c r="I169" s="670"/>
      <c r="J169" s="670"/>
      <c r="K169" s="670"/>
      <c r="L169" s="670"/>
      <c r="M169" s="670"/>
      <c r="N169" s="670"/>
      <c r="O169" s="670"/>
      <c r="P169" s="670"/>
      <c r="Q169" s="670"/>
      <c r="R169" s="670"/>
      <c r="S169" s="670"/>
      <c r="T169" s="670"/>
      <c r="U169" s="670"/>
      <c r="V169" s="670"/>
      <c r="W169" s="670"/>
      <c r="X169" s="734">
        <v>1000</v>
      </c>
      <c r="Y169" s="734">
        <v>1000</v>
      </c>
      <c r="Z169" s="673"/>
      <c r="AA169" s="673"/>
      <c r="AB169" s="671"/>
      <c r="AC169" s="669"/>
      <c r="AD169" s="669"/>
      <c r="AE169" s="669"/>
      <c r="AF169" s="669"/>
      <c r="AG169" s="669"/>
      <c r="AH169" s="669"/>
      <c r="AI169" s="669"/>
      <c r="AJ169" s="672"/>
      <c r="AK169" s="673"/>
      <c r="AL169" s="673">
        <v>1000</v>
      </c>
      <c r="AM169" s="454">
        <v>0</v>
      </c>
      <c r="AN169" s="454">
        <v>0</v>
      </c>
      <c r="AO169" s="665"/>
      <c r="AP169" s="665"/>
      <c r="AQ169" s="666"/>
      <c r="AR169" s="666"/>
      <c r="AS169" s="674">
        <v>0</v>
      </c>
      <c r="AT169" s="674">
        <v>0</v>
      </c>
      <c r="AU169" s="660"/>
      <c r="AV169" s="660"/>
      <c r="AW169" s="643"/>
      <c r="AX169" s="119"/>
    </row>
    <row r="170" spans="1:50" x14ac:dyDescent="0.25">
      <c r="A170" s="715">
        <v>25</v>
      </c>
      <c r="B170" s="716" t="s">
        <v>1848</v>
      </c>
      <c r="C170" s="450"/>
      <c r="D170" s="450"/>
      <c r="E170" s="450"/>
      <c r="F170" s="450"/>
      <c r="G170" s="673"/>
      <c r="H170" s="673"/>
      <c r="I170" s="670"/>
      <c r="J170" s="670"/>
      <c r="K170" s="670"/>
      <c r="L170" s="670"/>
      <c r="M170" s="670"/>
      <c r="N170" s="670"/>
      <c r="O170" s="670"/>
      <c r="P170" s="670"/>
      <c r="Q170" s="670"/>
      <c r="R170" s="670"/>
      <c r="S170" s="670"/>
      <c r="T170" s="670"/>
      <c r="U170" s="670"/>
      <c r="V170" s="670"/>
      <c r="W170" s="670"/>
      <c r="X170" s="734">
        <v>1000</v>
      </c>
      <c r="Y170" s="734">
        <v>1000</v>
      </c>
      <c r="Z170" s="673"/>
      <c r="AA170" s="673"/>
      <c r="AB170" s="671"/>
      <c r="AC170" s="669"/>
      <c r="AD170" s="669"/>
      <c r="AE170" s="669"/>
      <c r="AF170" s="669"/>
      <c r="AG170" s="669"/>
      <c r="AH170" s="669"/>
      <c r="AI170" s="669"/>
      <c r="AJ170" s="672"/>
      <c r="AK170" s="673"/>
      <c r="AL170" s="673">
        <v>1000</v>
      </c>
      <c r="AM170" s="454">
        <v>0</v>
      </c>
      <c r="AN170" s="454">
        <v>0</v>
      </c>
      <c r="AO170" s="665"/>
      <c r="AP170" s="665"/>
      <c r="AQ170" s="666"/>
      <c r="AR170" s="666"/>
      <c r="AS170" s="674">
        <v>0</v>
      </c>
      <c r="AT170" s="674">
        <v>0</v>
      </c>
      <c r="AU170" s="660"/>
      <c r="AV170" s="660"/>
      <c r="AW170" s="643"/>
      <c r="AX170" s="119"/>
    </row>
    <row r="171" spans="1:50" ht="31.5" x14ac:dyDescent="0.25">
      <c r="A171" s="726">
        <v>26</v>
      </c>
      <c r="B171" s="716" t="s">
        <v>1849</v>
      </c>
      <c r="C171" s="450"/>
      <c r="D171" s="450"/>
      <c r="E171" s="450"/>
      <c r="F171" s="450"/>
      <c r="G171" s="673"/>
      <c r="H171" s="673"/>
      <c r="I171" s="670"/>
      <c r="J171" s="670"/>
      <c r="K171" s="670"/>
      <c r="L171" s="670"/>
      <c r="M171" s="670"/>
      <c r="N171" s="670"/>
      <c r="O171" s="670"/>
      <c r="P171" s="670"/>
      <c r="Q171" s="670"/>
      <c r="R171" s="670"/>
      <c r="S171" s="670"/>
      <c r="T171" s="670"/>
      <c r="U171" s="670"/>
      <c r="V171" s="670"/>
      <c r="W171" s="670"/>
      <c r="X171" s="734">
        <v>1000</v>
      </c>
      <c r="Y171" s="734">
        <v>1000</v>
      </c>
      <c r="Z171" s="673"/>
      <c r="AA171" s="673"/>
      <c r="AB171" s="671"/>
      <c r="AC171" s="669"/>
      <c r="AD171" s="669"/>
      <c r="AE171" s="669"/>
      <c r="AF171" s="669"/>
      <c r="AG171" s="669"/>
      <c r="AH171" s="669"/>
      <c r="AI171" s="669"/>
      <c r="AJ171" s="672"/>
      <c r="AK171" s="673"/>
      <c r="AL171" s="673">
        <v>1000</v>
      </c>
      <c r="AM171" s="454">
        <v>0</v>
      </c>
      <c r="AN171" s="454">
        <v>0</v>
      </c>
      <c r="AO171" s="665"/>
      <c r="AP171" s="665"/>
      <c r="AQ171" s="666"/>
      <c r="AR171" s="666"/>
      <c r="AS171" s="674">
        <v>0</v>
      </c>
      <c r="AT171" s="674">
        <v>0</v>
      </c>
      <c r="AU171" s="660"/>
      <c r="AV171" s="660"/>
      <c r="AW171" s="643"/>
      <c r="AX171" s="119"/>
    </row>
    <row r="172" spans="1:50" ht="31.5" x14ac:dyDescent="0.25">
      <c r="A172" s="715">
        <v>27</v>
      </c>
      <c r="B172" s="716" t="s">
        <v>1850</v>
      </c>
      <c r="C172" s="450"/>
      <c r="D172" s="450"/>
      <c r="E172" s="450"/>
      <c r="F172" s="450"/>
      <c r="G172" s="673"/>
      <c r="H172" s="673"/>
      <c r="I172" s="670"/>
      <c r="J172" s="670"/>
      <c r="K172" s="670"/>
      <c r="L172" s="670"/>
      <c r="M172" s="670"/>
      <c r="N172" s="670"/>
      <c r="O172" s="670"/>
      <c r="P172" s="670"/>
      <c r="Q172" s="670"/>
      <c r="R172" s="670"/>
      <c r="S172" s="670"/>
      <c r="T172" s="670"/>
      <c r="U172" s="670"/>
      <c r="V172" s="670"/>
      <c r="W172" s="670"/>
      <c r="X172" s="734">
        <v>1000</v>
      </c>
      <c r="Y172" s="734">
        <v>1000</v>
      </c>
      <c r="Z172" s="673"/>
      <c r="AA172" s="673"/>
      <c r="AB172" s="671"/>
      <c r="AC172" s="669"/>
      <c r="AD172" s="669"/>
      <c r="AE172" s="669"/>
      <c r="AF172" s="669"/>
      <c r="AG172" s="669"/>
      <c r="AH172" s="669"/>
      <c r="AI172" s="669"/>
      <c r="AJ172" s="672"/>
      <c r="AK172" s="673"/>
      <c r="AL172" s="673">
        <v>1000</v>
      </c>
      <c r="AM172" s="454">
        <v>0</v>
      </c>
      <c r="AN172" s="454">
        <v>0</v>
      </c>
      <c r="AO172" s="665"/>
      <c r="AP172" s="665"/>
      <c r="AQ172" s="666"/>
      <c r="AR172" s="666"/>
      <c r="AS172" s="674">
        <v>0</v>
      </c>
      <c r="AT172" s="674">
        <v>0</v>
      </c>
      <c r="AU172" s="660"/>
      <c r="AV172" s="660"/>
      <c r="AW172" s="643"/>
      <c r="AX172" s="119"/>
    </row>
    <row r="173" spans="1:50" s="14" customFormat="1" x14ac:dyDescent="0.25">
      <c r="A173" s="715">
        <v>28</v>
      </c>
      <c r="B173" s="716" t="s">
        <v>1851</v>
      </c>
      <c r="C173" s="450"/>
      <c r="D173" s="450"/>
      <c r="E173" s="450"/>
      <c r="F173" s="450"/>
      <c r="G173" s="673"/>
      <c r="H173" s="673"/>
      <c r="I173" s="670"/>
      <c r="J173" s="670"/>
      <c r="K173" s="670"/>
      <c r="L173" s="670"/>
      <c r="M173" s="670"/>
      <c r="N173" s="670"/>
      <c r="O173" s="670"/>
      <c r="P173" s="670"/>
      <c r="Q173" s="670"/>
      <c r="R173" s="670"/>
      <c r="S173" s="670"/>
      <c r="T173" s="670"/>
      <c r="U173" s="670"/>
      <c r="V173" s="670"/>
      <c r="W173" s="670"/>
      <c r="X173" s="734">
        <v>1000</v>
      </c>
      <c r="Y173" s="734">
        <v>1000</v>
      </c>
      <c r="Z173" s="673"/>
      <c r="AA173" s="673"/>
      <c r="AB173" s="671"/>
      <c r="AC173" s="669"/>
      <c r="AD173" s="669"/>
      <c r="AE173" s="669"/>
      <c r="AF173" s="669"/>
      <c r="AG173" s="669"/>
      <c r="AH173" s="669"/>
      <c r="AI173" s="669"/>
      <c r="AJ173" s="672"/>
      <c r="AK173" s="673"/>
      <c r="AL173" s="673">
        <v>1000</v>
      </c>
      <c r="AM173" s="454">
        <v>0</v>
      </c>
      <c r="AN173" s="454">
        <v>0</v>
      </c>
      <c r="AO173" s="665"/>
      <c r="AP173" s="665"/>
      <c r="AQ173" s="666"/>
      <c r="AR173" s="666"/>
      <c r="AS173" s="54">
        <v>0</v>
      </c>
      <c r="AT173" s="54">
        <v>0</v>
      </c>
      <c r="AU173" s="667"/>
      <c r="AV173" s="667"/>
      <c r="AW173" s="13"/>
    </row>
    <row r="174" spans="1:50" s="14" customFormat="1" ht="31.5" x14ac:dyDescent="0.25">
      <c r="A174" s="726">
        <v>29</v>
      </c>
      <c r="B174" s="716" t="s">
        <v>1852</v>
      </c>
      <c r="C174" s="450"/>
      <c r="D174" s="450"/>
      <c r="E174" s="450"/>
      <c r="F174" s="450"/>
      <c r="G174" s="673"/>
      <c r="H174" s="673"/>
      <c r="I174" s="670"/>
      <c r="J174" s="670"/>
      <c r="K174" s="670"/>
      <c r="L174" s="670"/>
      <c r="M174" s="670"/>
      <c r="N174" s="670"/>
      <c r="O174" s="670"/>
      <c r="P174" s="670"/>
      <c r="Q174" s="670"/>
      <c r="R174" s="670"/>
      <c r="S174" s="670"/>
      <c r="T174" s="670"/>
      <c r="U174" s="670"/>
      <c r="V174" s="670"/>
      <c r="W174" s="670"/>
      <c r="X174" s="734">
        <v>1000</v>
      </c>
      <c r="Y174" s="734">
        <v>1000</v>
      </c>
      <c r="Z174" s="673"/>
      <c r="AA174" s="673"/>
      <c r="AB174" s="671"/>
      <c r="AC174" s="669"/>
      <c r="AD174" s="669"/>
      <c r="AE174" s="669"/>
      <c r="AF174" s="669"/>
      <c r="AG174" s="669"/>
      <c r="AH174" s="669"/>
      <c r="AI174" s="669"/>
      <c r="AJ174" s="672"/>
      <c r="AK174" s="673"/>
      <c r="AL174" s="673">
        <v>1000</v>
      </c>
      <c r="AM174" s="454">
        <v>0</v>
      </c>
      <c r="AN174" s="454">
        <v>0</v>
      </c>
      <c r="AO174" s="665"/>
      <c r="AP174" s="665"/>
      <c r="AQ174" s="666"/>
      <c r="AR174" s="666"/>
      <c r="AS174" s="54">
        <v>0</v>
      </c>
      <c r="AT174" s="54">
        <v>0</v>
      </c>
      <c r="AU174" s="667"/>
      <c r="AV174" s="667"/>
      <c r="AW174" s="13"/>
    </row>
    <row r="175" spans="1:50" x14ac:dyDescent="0.25">
      <c r="A175" s="715">
        <v>30</v>
      </c>
      <c r="B175" s="716" t="s">
        <v>1853</v>
      </c>
      <c r="C175" s="450"/>
      <c r="D175" s="450"/>
      <c r="E175" s="450"/>
      <c r="F175" s="450"/>
      <c r="G175" s="673"/>
      <c r="H175" s="673"/>
      <c r="I175" s="670"/>
      <c r="J175" s="670"/>
      <c r="K175" s="670"/>
      <c r="L175" s="670"/>
      <c r="M175" s="670"/>
      <c r="N175" s="670"/>
      <c r="O175" s="670"/>
      <c r="P175" s="670"/>
      <c r="Q175" s="670"/>
      <c r="R175" s="670"/>
      <c r="S175" s="670"/>
      <c r="T175" s="670"/>
      <c r="U175" s="670"/>
      <c r="V175" s="670"/>
      <c r="W175" s="670"/>
      <c r="X175" s="734">
        <v>1000</v>
      </c>
      <c r="Y175" s="734">
        <v>1000</v>
      </c>
      <c r="Z175" s="673"/>
      <c r="AA175" s="673"/>
      <c r="AB175" s="671"/>
      <c r="AC175" s="669"/>
      <c r="AD175" s="669"/>
      <c r="AE175" s="669"/>
      <c r="AF175" s="669"/>
      <c r="AG175" s="669"/>
      <c r="AH175" s="669"/>
      <c r="AI175" s="669"/>
      <c r="AJ175" s="672"/>
      <c r="AK175" s="673"/>
      <c r="AL175" s="673">
        <v>1000</v>
      </c>
      <c r="AM175" s="454">
        <v>0</v>
      </c>
      <c r="AN175" s="454">
        <v>0</v>
      </c>
      <c r="AO175" s="665"/>
      <c r="AP175" s="665"/>
      <c r="AQ175" s="666"/>
      <c r="AR175" s="666"/>
      <c r="AS175" s="737">
        <v>0</v>
      </c>
      <c r="AT175" s="737">
        <v>0</v>
      </c>
      <c r="AU175" s="738"/>
      <c r="AV175" s="738"/>
      <c r="AW175" s="643"/>
      <c r="AX175" s="119"/>
    </row>
    <row r="176" spans="1:50" ht="31.5" x14ac:dyDescent="0.25">
      <c r="A176" s="715">
        <v>31</v>
      </c>
      <c r="B176" s="716" t="s">
        <v>1854</v>
      </c>
      <c r="C176" s="450"/>
      <c r="D176" s="450"/>
      <c r="E176" s="450"/>
      <c r="F176" s="450"/>
      <c r="G176" s="673"/>
      <c r="H176" s="673"/>
      <c r="I176" s="670"/>
      <c r="J176" s="670"/>
      <c r="K176" s="670"/>
      <c r="L176" s="670"/>
      <c r="M176" s="670"/>
      <c r="N176" s="670"/>
      <c r="O176" s="670"/>
      <c r="P176" s="670"/>
      <c r="Q176" s="670"/>
      <c r="R176" s="670"/>
      <c r="S176" s="670"/>
      <c r="T176" s="670"/>
      <c r="U176" s="670"/>
      <c r="V176" s="670"/>
      <c r="W176" s="670"/>
      <c r="X176" s="734">
        <v>1000</v>
      </c>
      <c r="Y176" s="734">
        <v>1000</v>
      </c>
      <c r="Z176" s="673"/>
      <c r="AA176" s="673"/>
      <c r="AB176" s="671"/>
      <c r="AC176" s="669"/>
      <c r="AD176" s="669"/>
      <c r="AE176" s="669"/>
      <c r="AF176" s="669"/>
      <c r="AG176" s="669"/>
      <c r="AH176" s="669"/>
      <c r="AI176" s="669"/>
      <c r="AJ176" s="672"/>
      <c r="AK176" s="673"/>
      <c r="AL176" s="673">
        <v>1000</v>
      </c>
      <c r="AM176" s="454">
        <v>0</v>
      </c>
      <c r="AN176" s="454">
        <v>0</v>
      </c>
      <c r="AO176" s="665"/>
      <c r="AP176" s="665"/>
      <c r="AQ176" s="666"/>
      <c r="AR176" s="666"/>
      <c r="AS176" s="674">
        <v>0</v>
      </c>
      <c r="AT176" s="674">
        <v>0</v>
      </c>
      <c r="AU176" s="660"/>
      <c r="AV176" s="660"/>
      <c r="AW176" s="148"/>
      <c r="AX176" s="119"/>
    </row>
    <row r="177" spans="1:50" ht="31.5" x14ac:dyDescent="0.25">
      <c r="A177" s="726">
        <v>32</v>
      </c>
      <c r="B177" s="716" t="s">
        <v>1855</v>
      </c>
      <c r="C177" s="450"/>
      <c r="D177" s="450"/>
      <c r="E177" s="450"/>
      <c r="F177" s="450"/>
      <c r="G177" s="673"/>
      <c r="H177" s="673"/>
      <c r="I177" s="670"/>
      <c r="J177" s="670"/>
      <c r="K177" s="670"/>
      <c r="L177" s="670"/>
      <c r="M177" s="670"/>
      <c r="N177" s="670"/>
      <c r="O177" s="670"/>
      <c r="P177" s="670"/>
      <c r="Q177" s="670"/>
      <c r="R177" s="670"/>
      <c r="S177" s="670"/>
      <c r="T177" s="670"/>
      <c r="U177" s="670"/>
      <c r="V177" s="670"/>
      <c r="W177" s="670"/>
      <c r="X177" s="734">
        <v>3500</v>
      </c>
      <c r="Y177" s="734">
        <v>3500</v>
      </c>
      <c r="Z177" s="673"/>
      <c r="AA177" s="673"/>
      <c r="AB177" s="671"/>
      <c r="AC177" s="669"/>
      <c r="AD177" s="669"/>
      <c r="AE177" s="669"/>
      <c r="AF177" s="669"/>
      <c r="AG177" s="669"/>
      <c r="AH177" s="669"/>
      <c r="AI177" s="669"/>
      <c r="AJ177" s="672"/>
      <c r="AK177" s="673"/>
      <c r="AL177" s="673">
        <v>3500</v>
      </c>
      <c r="AM177" s="454">
        <v>0</v>
      </c>
      <c r="AN177" s="454">
        <v>0</v>
      </c>
      <c r="AO177" s="665"/>
      <c r="AP177" s="665"/>
      <c r="AQ177" s="666"/>
      <c r="AR177" s="666"/>
      <c r="AS177" s="674">
        <v>0</v>
      </c>
      <c r="AT177" s="674">
        <v>0</v>
      </c>
      <c r="AU177" s="660"/>
      <c r="AV177" s="660"/>
      <c r="AW177" s="148"/>
      <c r="AX177" s="119"/>
    </row>
    <row r="178" spans="1:50" ht="31.5" x14ac:dyDescent="0.25">
      <c r="A178" s="715">
        <v>33</v>
      </c>
      <c r="B178" s="716" t="s">
        <v>1856</v>
      </c>
      <c r="C178" s="450"/>
      <c r="D178" s="450"/>
      <c r="E178" s="450"/>
      <c r="F178" s="450"/>
      <c r="G178" s="673"/>
      <c r="H178" s="673"/>
      <c r="I178" s="670"/>
      <c r="J178" s="670"/>
      <c r="K178" s="670"/>
      <c r="L178" s="670"/>
      <c r="M178" s="670"/>
      <c r="N178" s="670"/>
      <c r="O178" s="670"/>
      <c r="P178" s="670"/>
      <c r="Q178" s="670"/>
      <c r="R178" s="670"/>
      <c r="S178" s="670"/>
      <c r="T178" s="670"/>
      <c r="U178" s="670"/>
      <c r="V178" s="670"/>
      <c r="W178" s="670"/>
      <c r="X178" s="739">
        <v>3500</v>
      </c>
      <c r="Y178" s="739">
        <v>3500</v>
      </c>
      <c r="Z178" s="673"/>
      <c r="AA178" s="673"/>
      <c r="AB178" s="671"/>
      <c r="AC178" s="669"/>
      <c r="AD178" s="669"/>
      <c r="AE178" s="669"/>
      <c r="AF178" s="669"/>
      <c r="AG178" s="669"/>
      <c r="AH178" s="669"/>
      <c r="AI178" s="669"/>
      <c r="AJ178" s="672"/>
      <c r="AK178" s="673"/>
      <c r="AL178" s="673">
        <v>3500</v>
      </c>
      <c r="AM178" s="454">
        <v>0</v>
      </c>
      <c r="AN178" s="454">
        <v>0</v>
      </c>
      <c r="AO178" s="665"/>
      <c r="AP178" s="665"/>
      <c r="AQ178" s="666"/>
      <c r="AR178" s="666"/>
      <c r="AS178" s="674">
        <v>0</v>
      </c>
      <c r="AT178" s="674">
        <v>0</v>
      </c>
      <c r="AU178" s="660"/>
      <c r="AV178" s="660"/>
      <c r="AW178" s="148"/>
      <c r="AX178" s="119"/>
    </row>
    <row r="179" spans="1:50" ht="39" customHeight="1" x14ac:dyDescent="0.25">
      <c r="A179" s="740" t="s">
        <v>730</v>
      </c>
      <c r="B179" s="523" t="s">
        <v>1857</v>
      </c>
      <c r="C179" s="450"/>
      <c r="D179" s="450"/>
      <c r="E179" s="450"/>
      <c r="F179" s="450"/>
      <c r="G179" s="673"/>
      <c r="H179" s="673"/>
      <c r="I179" s="670"/>
      <c r="J179" s="670"/>
      <c r="K179" s="670"/>
      <c r="L179" s="670"/>
      <c r="M179" s="670"/>
      <c r="N179" s="670"/>
      <c r="O179" s="670"/>
      <c r="P179" s="670"/>
      <c r="Q179" s="670"/>
      <c r="R179" s="670"/>
      <c r="S179" s="670"/>
      <c r="T179" s="670"/>
      <c r="U179" s="670"/>
      <c r="V179" s="670"/>
      <c r="W179" s="670"/>
      <c r="X179" s="739"/>
      <c r="Y179" s="739"/>
      <c r="Z179" s="673"/>
      <c r="AA179" s="673"/>
      <c r="AB179" s="671"/>
      <c r="AC179" s="669"/>
      <c r="AD179" s="669"/>
      <c r="AE179" s="669"/>
      <c r="AF179" s="669"/>
      <c r="AG179" s="669"/>
      <c r="AH179" s="669"/>
      <c r="AI179" s="669"/>
      <c r="AJ179" s="672"/>
      <c r="AK179" s="673"/>
      <c r="AL179" s="673"/>
      <c r="AM179" s="454"/>
      <c r="AN179" s="454"/>
      <c r="AO179" s="665"/>
      <c r="AP179" s="665"/>
      <c r="AQ179" s="666"/>
      <c r="AR179" s="666"/>
      <c r="AS179" s="674"/>
      <c r="AT179" s="674"/>
      <c r="AU179" s="660"/>
      <c r="AV179" s="660"/>
      <c r="AW179" s="148"/>
      <c r="AX179" s="119"/>
    </row>
    <row r="180" spans="1:50" ht="31.5" x14ac:dyDescent="0.25">
      <c r="A180" s="740"/>
      <c r="B180" s="449" t="s">
        <v>1858</v>
      </c>
      <c r="C180" s="450"/>
      <c r="D180" s="450"/>
      <c r="E180" s="450"/>
      <c r="F180" s="450"/>
      <c r="G180" s="673"/>
      <c r="H180" s="673"/>
      <c r="I180" s="670"/>
      <c r="J180" s="670"/>
      <c r="K180" s="670"/>
      <c r="L180" s="670"/>
      <c r="M180" s="670"/>
      <c r="N180" s="670"/>
      <c r="O180" s="670"/>
      <c r="P180" s="670"/>
      <c r="Q180" s="670"/>
      <c r="R180" s="670"/>
      <c r="S180" s="670"/>
      <c r="T180" s="670"/>
      <c r="U180" s="670"/>
      <c r="V180" s="670"/>
      <c r="W180" s="670"/>
      <c r="X180" s="739"/>
      <c r="Y180" s="739"/>
      <c r="Z180" s="673"/>
      <c r="AA180" s="673"/>
      <c r="AB180" s="671"/>
      <c r="AC180" s="669"/>
      <c r="AD180" s="669"/>
      <c r="AE180" s="669"/>
      <c r="AF180" s="669"/>
      <c r="AG180" s="669"/>
      <c r="AH180" s="669"/>
      <c r="AI180" s="669"/>
      <c r="AJ180" s="672"/>
      <c r="AK180" s="673"/>
      <c r="AL180" s="673"/>
      <c r="AM180" s="454"/>
      <c r="AN180" s="454"/>
      <c r="AO180" s="665"/>
      <c r="AP180" s="665"/>
      <c r="AQ180" s="666">
        <v>1917</v>
      </c>
      <c r="AR180" s="666"/>
      <c r="AS180" s="674">
        <v>3300</v>
      </c>
      <c r="AT180" s="674">
        <v>1917</v>
      </c>
      <c r="AU180" s="660"/>
      <c r="AV180" s="660"/>
      <c r="AW180" s="148"/>
      <c r="AX180" s="119"/>
    </row>
    <row r="181" spans="1:50" ht="30" customHeight="1" x14ac:dyDescent="0.25">
      <c r="A181" s="646" t="s">
        <v>1859</v>
      </c>
      <c r="B181" s="647" t="s">
        <v>1860</v>
      </c>
      <c r="C181" s="464"/>
      <c r="D181" s="464"/>
      <c r="E181" s="613"/>
      <c r="F181" s="464"/>
      <c r="G181" s="658">
        <v>25750</v>
      </c>
      <c r="H181" s="658">
        <v>56032</v>
      </c>
      <c r="I181" s="658">
        <v>0</v>
      </c>
      <c r="J181" s="658">
        <v>0</v>
      </c>
      <c r="K181" s="658">
        <v>0</v>
      </c>
      <c r="L181" s="658">
        <v>0</v>
      </c>
      <c r="M181" s="658">
        <v>0</v>
      </c>
      <c r="N181" s="658">
        <v>0</v>
      </c>
      <c r="O181" s="658">
        <v>0</v>
      </c>
      <c r="P181" s="658">
        <v>0</v>
      </c>
      <c r="Q181" s="658">
        <v>0</v>
      </c>
      <c r="R181" s="658">
        <v>0</v>
      </c>
      <c r="S181" s="658">
        <v>0</v>
      </c>
      <c r="T181" s="658">
        <v>0</v>
      </c>
      <c r="U181" s="658">
        <v>0</v>
      </c>
      <c r="V181" s="658">
        <v>0</v>
      </c>
      <c r="W181" s="658">
        <v>0</v>
      </c>
      <c r="X181" s="658">
        <v>55251</v>
      </c>
      <c r="Y181" s="658">
        <v>54902</v>
      </c>
      <c r="Z181" s="658">
        <v>0</v>
      </c>
      <c r="AA181" s="658">
        <v>0</v>
      </c>
      <c r="AB181" s="658">
        <v>0</v>
      </c>
      <c r="AC181" s="658">
        <v>0</v>
      </c>
      <c r="AD181" s="658">
        <v>0</v>
      </c>
      <c r="AE181" s="658">
        <v>0</v>
      </c>
      <c r="AF181" s="658">
        <v>0</v>
      </c>
      <c r="AG181" s="658">
        <v>0</v>
      </c>
      <c r="AH181" s="658">
        <v>0</v>
      </c>
      <c r="AI181" s="658">
        <v>0</v>
      </c>
      <c r="AJ181" s="658">
        <v>0</v>
      </c>
      <c r="AK181" s="658">
        <v>130</v>
      </c>
      <c r="AL181" s="658">
        <v>9490</v>
      </c>
      <c r="AM181" s="465">
        <f t="shared" ref="AM181:AV181" si="21">AM182+AM183</f>
        <v>45671</v>
      </c>
      <c r="AN181" s="465">
        <f t="shared" si="21"/>
        <v>45542</v>
      </c>
      <c r="AO181" s="465">
        <f t="shared" si="21"/>
        <v>0</v>
      </c>
      <c r="AP181" s="465">
        <f t="shared" si="21"/>
        <v>0</v>
      </c>
      <c r="AQ181" s="465">
        <f t="shared" si="21"/>
        <v>0</v>
      </c>
      <c r="AR181" s="465">
        <f t="shared" si="21"/>
        <v>0</v>
      </c>
      <c r="AS181" s="465">
        <f t="shared" si="21"/>
        <v>45671</v>
      </c>
      <c r="AT181" s="465">
        <f t="shared" si="21"/>
        <v>45542</v>
      </c>
      <c r="AU181" s="465">
        <f t="shared" si="21"/>
        <v>0</v>
      </c>
      <c r="AV181" s="465">
        <f t="shared" si="21"/>
        <v>0</v>
      </c>
      <c r="AW181" s="148"/>
      <c r="AX181" s="119"/>
    </row>
    <row r="182" spans="1:50" ht="30.75" customHeight="1" x14ac:dyDescent="0.25">
      <c r="A182" s="664"/>
      <c r="B182" s="470" t="s">
        <v>1861</v>
      </c>
      <c r="C182" s="464"/>
      <c r="D182" s="464"/>
      <c r="E182" s="613"/>
      <c r="F182" s="464"/>
      <c r="G182" s="658"/>
      <c r="H182" s="658"/>
      <c r="I182" s="659"/>
      <c r="J182" s="659"/>
      <c r="K182" s="659"/>
      <c r="L182" s="659"/>
      <c r="M182" s="659"/>
      <c r="N182" s="659"/>
      <c r="O182" s="659"/>
      <c r="P182" s="659"/>
      <c r="Q182" s="659"/>
      <c r="R182" s="659"/>
      <c r="S182" s="659"/>
      <c r="T182" s="659"/>
      <c r="U182" s="659"/>
      <c r="V182" s="659"/>
      <c r="W182" s="659"/>
      <c r="X182" s="658"/>
      <c r="Y182" s="658"/>
      <c r="Z182" s="658"/>
      <c r="AA182" s="658"/>
      <c r="AB182" s="658"/>
      <c r="AC182" s="658"/>
      <c r="AD182" s="658"/>
      <c r="AE182" s="658"/>
      <c r="AF182" s="658"/>
      <c r="AG182" s="658"/>
      <c r="AH182" s="658"/>
      <c r="AI182" s="658"/>
      <c r="AJ182" s="658"/>
      <c r="AK182" s="673">
        <v>130</v>
      </c>
      <c r="AL182" s="658"/>
      <c r="AM182" s="465"/>
      <c r="AN182" s="465">
        <v>130</v>
      </c>
      <c r="AO182" s="465"/>
      <c r="AP182" s="465"/>
      <c r="AQ182" s="465"/>
      <c r="AR182" s="465"/>
      <c r="AS182" s="674"/>
      <c r="AT182" s="674">
        <v>130</v>
      </c>
      <c r="AU182" s="660"/>
      <c r="AV182" s="660"/>
      <c r="AW182" s="148"/>
      <c r="AX182" s="119"/>
    </row>
    <row r="183" spans="1:50" ht="31.5" x14ac:dyDescent="0.25">
      <c r="A183" s="469"/>
      <c r="B183" s="470" t="s">
        <v>1862</v>
      </c>
      <c r="C183" s="471"/>
      <c r="D183" s="471"/>
      <c r="E183" s="471"/>
      <c r="F183" s="450"/>
      <c r="G183" s="680">
        <v>25750</v>
      </c>
      <c r="H183" s="680">
        <v>56032</v>
      </c>
      <c r="I183" s="670"/>
      <c r="J183" s="670"/>
      <c r="K183" s="670"/>
      <c r="L183" s="670"/>
      <c r="M183" s="670"/>
      <c r="N183" s="670"/>
      <c r="O183" s="670"/>
      <c r="P183" s="670"/>
      <c r="Q183" s="670"/>
      <c r="R183" s="670"/>
      <c r="S183" s="670"/>
      <c r="T183" s="670"/>
      <c r="U183" s="670"/>
      <c r="V183" s="670"/>
      <c r="W183" s="670"/>
      <c r="X183" s="678">
        <v>55251</v>
      </c>
      <c r="Y183" s="678">
        <v>54902</v>
      </c>
      <c r="Z183" s="678">
        <v>0</v>
      </c>
      <c r="AA183" s="678">
        <v>0</v>
      </c>
      <c r="AB183" s="678">
        <v>0</v>
      </c>
      <c r="AC183" s="678">
        <v>0</v>
      </c>
      <c r="AD183" s="678">
        <v>0</v>
      </c>
      <c r="AE183" s="678">
        <v>0</v>
      </c>
      <c r="AF183" s="678">
        <v>0</v>
      </c>
      <c r="AG183" s="678">
        <v>0</v>
      </c>
      <c r="AH183" s="678">
        <v>0</v>
      </c>
      <c r="AI183" s="678">
        <v>0</v>
      </c>
      <c r="AJ183" s="678">
        <v>0</v>
      </c>
      <c r="AK183" s="678">
        <v>0</v>
      </c>
      <c r="AL183" s="678">
        <v>9490</v>
      </c>
      <c r="AM183" s="474">
        <f t="shared" ref="AM183:AV183" si="22">SUM(AM184:AM201)</f>
        <v>45671</v>
      </c>
      <c r="AN183" s="474">
        <f t="shared" si="22"/>
        <v>45412</v>
      </c>
      <c r="AO183" s="474">
        <f t="shared" si="22"/>
        <v>0</v>
      </c>
      <c r="AP183" s="474">
        <f t="shared" si="22"/>
        <v>0</v>
      </c>
      <c r="AQ183" s="474">
        <f t="shared" si="22"/>
        <v>0</v>
      </c>
      <c r="AR183" s="474">
        <f t="shared" si="22"/>
        <v>0</v>
      </c>
      <c r="AS183" s="474">
        <f t="shared" si="22"/>
        <v>45671</v>
      </c>
      <c r="AT183" s="474">
        <f t="shared" si="22"/>
        <v>45412</v>
      </c>
      <c r="AU183" s="474">
        <f t="shared" si="22"/>
        <v>0</v>
      </c>
      <c r="AV183" s="474">
        <f t="shared" si="22"/>
        <v>0</v>
      </c>
      <c r="AW183" s="148"/>
      <c r="AX183" s="119"/>
    </row>
    <row r="184" spans="1:50" ht="47.25" x14ac:dyDescent="0.25">
      <c r="A184" s="448">
        <v>1</v>
      </c>
      <c r="B184" s="449" t="s">
        <v>1863</v>
      </c>
      <c r="C184" s="450" t="s">
        <v>1531</v>
      </c>
      <c r="D184" s="450"/>
      <c r="E184" s="450" t="s">
        <v>70</v>
      </c>
      <c r="F184" s="450"/>
      <c r="G184" s="669">
        <v>4500</v>
      </c>
      <c r="H184" s="669">
        <v>4500</v>
      </c>
      <c r="I184" s="670"/>
      <c r="J184" s="670"/>
      <c r="K184" s="670"/>
      <c r="L184" s="670"/>
      <c r="M184" s="670"/>
      <c r="N184" s="670"/>
      <c r="O184" s="670"/>
      <c r="P184" s="670"/>
      <c r="Q184" s="670"/>
      <c r="R184" s="670"/>
      <c r="S184" s="670"/>
      <c r="T184" s="670"/>
      <c r="U184" s="670"/>
      <c r="V184" s="670"/>
      <c r="W184" s="670"/>
      <c r="X184" s="671">
        <v>4200</v>
      </c>
      <c r="Y184" s="671">
        <v>4200</v>
      </c>
      <c r="Z184" s="673"/>
      <c r="AA184" s="673"/>
      <c r="AB184" s="671"/>
      <c r="AC184" s="669"/>
      <c r="AD184" s="669"/>
      <c r="AE184" s="669"/>
      <c r="AF184" s="669"/>
      <c r="AG184" s="669"/>
      <c r="AH184" s="669"/>
      <c r="AI184" s="669"/>
      <c r="AJ184" s="672"/>
      <c r="AK184" s="673"/>
      <c r="AL184" s="673">
        <v>68</v>
      </c>
      <c r="AM184" s="665">
        <v>4132</v>
      </c>
      <c r="AN184" s="665">
        <v>4132</v>
      </c>
      <c r="AO184" s="665"/>
      <c r="AP184" s="665"/>
      <c r="AQ184" s="666"/>
      <c r="AR184" s="666"/>
      <c r="AS184" s="674">
        <v>4132</v>
      </c>
      <c r="AT184" s="674">
        <v>4132</v>
      </c>
      <c r="AU184" s="660"/>
      <c r="AV184" s="660"/>
      <c r="AW184" s="148"/>
      <c r="AX184" s="119"/>
    </row>
    <row r="185" spans="1:50" ht="31.5" customHeight="1" x14ac:dyDescent="0.25">
      <c r="A185" s="448">
        <v>2</v>
      </c>
      <c r="B185" s="449" t="s">
        <v>1864</v>
      </c>
      <c r="C185" s="450" t="s">
        <v>1525</v>
      </c>
      <c r="D185" s="450"/>
      <c r="E185" s="450" t="s">
        <v>70</v>
      </c>
      <c r="F185" s="450"/>
      <c r="G185" s="669">
        <v>4000</v>
      </c>
      <c r="H185" s="669">
        <v>4000</v>
      </c>
      <c r="I185" s="670"/>
      <c r="J185" s="670"/>
      <c r="K185" s="670"/>
      <c r="L185" s="670"/>
      <c r="M185" s="670"/>
      <c r="N185" s="670"/>
      <c r="O185" s="670"/>
      <c r="P185" s="670"/>
      <c r="Q185" s="670"/>
      <c r="R185" s="670"/>
      <c r="S185" s="670"/>
      <c r="T185" s="670"/>
      <c r="U185" s="670"/>
      <c r="V185" s="670"/>
      <c r="W185" s="670"/>
      <c r="X185" s="671">
        <v>3665</v>
      </c>
      <c r="Y185" s="671">
        <v>3665</v>
      </c>
      <c r="Z185" s="673"/>
      <c r="AA185" s="673"/>
      <c r="AB185" s="671"/>
      <c r="AC185" s="669"/>
      <c r="AD185" s="669"/>
      <c r="AE185" s="669"/>
      <c r="AF185" s="669"/>
      <c r="AG185" s="669"/>
      <c r="AH185" s="669"/>
      <c r="AI185" s="669"/>
      <c r="AJ185" s="672"/>
      <c r="AK185" s="673"/>
      <c r="AL185" s="673">
        <v>70</v>
      </c>
      <c r="AM185" s="665">
        <v>3595</v>
      </c>
      <c r="AN185" s="665">
        <v>3595</v>
      </c>
      <c r="AO185" s="665"/>
      <c r="AP185" s="665"/>
      <c r="AQ185" s="666"/>
      <c r="AR185" s="666"/>
      <c r="AS185" s="674">
        <v>3595</v>
      </c>
      <c r="AT185" s="674">
        <v>3595</v>
      </c>
      <c r="AU185" s="660"/>
      <c r="AV185" s="660"/>
      <c r="AW185" s="5"/>
      <c r="AX185" s="119"/>
    </row>
    <row r="186" spans="1:50" ht="47.25" x14ac:dyDescent="0.25">
      <c r="A186" s="448">
        <v>3</v>
      </c>
      <c r="B186" s="449" t="s">
        <v>1865</v>
      </c>
      <c r="C186" s="450" t="s">
        <v>1529</v>
      </c>
      <c r="D186" s="450"/>
      <c r="E186" s="450" t="s">
        <v>70</v>
      </c>
      <c r="F186" s="450"/>
      <c r="G186" s="669">
        <v>3500</v>
      </c>
      <c r="H186" s="669">
        <v>3500</v>
      </c>
      <c r="I186" s="670"/>
      <c r="J186" s="670"/>
      <c r="K186" s="670"/>
      <c r="L186" s="670"/>
      <c r="M186" s="670"/>
      <c r="N186" s="670"/>
      <c r="O186" s="670"/>
      <c r="P186" s="670"/>
      <c r="Q186" s="670"/>
      <c r="R186" s="670"/>
      <c r="S186" s="670"/>
      <c r="T186" s="670"/>
      <c r="U186" s="670"/>
      <c r="V186" s="670"/>
      <c r="W186" s="670"/>
      <c r="X186" s="671">
        <v>3100</v>
      </c>
      <c r="Y186" s="671">
        <v>3100</v>
      </c>
      <c r="Z186" s="673"/>
      <c r="AA186" s="673"/>
      <c r="AB186" s="671"/>
      <c r="AC186" s="669"/>
      <c r="AD186" s="669"/>
      <c r="AE186" s="669"/>
      <c r="AF186" s="669"/>
      <c r="AG186" s="669"/>
      <c r="AH186" s="669"/>
      <c r="AI186" s="669"/>
      <c r="AJ186" s="672"/>
      <c r="AK186" s="673"/>
      <c r="AL186" s="673">
        <v>185</v>
      </c>
      <c r="AM186" s="665">
        <v>2915</v>
      </c>
      <c r="AN186" s="665">
        <v>2915</v>
      </c>
      <c r="AO186" s="665"/>
      <c r="AP186" s="665"/>
      <c r="AQ186" s="666"/>
      <c r="AR186" s="666"/>
      <c r="AS186" s="674">
        <v>2915</v>
      </c>
      <c r="AT186" s="674">
        <v>2915</v>
      </c>
      <c r="AU186" s="660"/>
      <c r="AV186" s="660"/>
      <c r="AW186" s="148"/>
      <c r="AX186" s="119"/>
    </row>
    <row r="187" spans="1:50" ht="31.5" customHeight="1" x14ac:dyDescent="0.25">
      <c r="A187" s="448">
        <v>4</v>
      </c>
      <c r="B187" s="449" t="s">
        <v>1866</v>
      </c>
      <c r="C187" s="450" t="s">
        <v>1523</v>
      </c>
      <c r="D187" s="450"/>
      <c r="E187" s="450" t="s">
        <v>70</v>
      </c>
      <c r="F187" s="450"/>
      <c r="G187" s="669">
        <v>2500</v>
      </c>
      <c r="H187" s="669">
        <v>2500</v>
      </c>
      <c r="I187" s="670"/>
      <c r="J187" s="670"/>
      <c r="K187" s="670"/>
      <c r="L187" s="670"/>
      <c r="M187" s="670"/>
      <c r="N187" s="670"/>
      <c r="O187" s="670"/>
      <c r="P187" s="670"/>
      <c r="Q187" s="670"/>
      <c r="R187" s="670"/>
      <c r="S187" s="670"/>
      <c r="T187" s="670"/>
      <c r="U187" s="670"/>
      <c r="V187" s="670"/>
      <c r="W187" s="670"/>
      <c r="X187" s="671">
        <v>2495</v>
      </c>
      <c r="Y187" s="671">
        <v>2495</v>
      </c>
      <c r="Z187" s="673"/>
      <c r="AA187" s="673"/>
      <c r="AB187" s="671"/>
      <c r="AC187" s="669"/>
      <c r="AD187" s="669"/>
      <c r="AE187" s="669"/>
      <c r="AF187" s="669"/>
      <c r="AG187" s="669"/>
      <c r="AH187" s="669"/>
      <c r="AI187" s="669"/>
      <c r="AJ187" s="672"/>
      <c r="AK187" s="673"/>
      <c r="AL187" s="673">
        <v>98</v>
      </c>
      <c r="AM187" s="665">
        <v>2397</v>
      </c>
      <c r="AN187" s="665">
        <v>2397</v>
      </c>
      <c r="AO187" s="665"/>
      <c r="AP187" s="665"/>
      <c r="AQ187" s="666"/>
      <c r="AR187" s="666"/>
      <c r="AS187" s="674">
        <v>2397</v>
      </c>
      <c r="AT187" s="674">
        <v>2397</v>
      </c>
      <c r="AU187" s="660"/>
      <c r="AV187" s="660"/>
      <c r="AW187" s="148"/>
      <c r="AX187" s="119"/>
    </row>
    <row r="188" spans="1:50" ht="63" x14ac:dyDescent="0.25">
      <c r="A188" s="448">
        <v>5</v>
      </c>
      <c r="B188" s="449" t="s">
        <v>1867</v>
      </c>
      <c r="C188" s="450" t="s">
        <v>89</v>
      </c>
      <c r="D188" s="450"/>
      <c r="E188" s="450" t="s">
        <v>404</v>
      </c>
      <c r="F188" s="450"/>
      <c r="G188" s="669">
        <v>4000</v>
      </c>
      <c r="H188" s="669">
        <v>4000</v>
      </c>
      <c r="I188" s="670"/>
      <c r="J188" s="670"/>
      <c r="K188" s="670"/>
      <c r="L188" s="670"/>
      <c r="M188" s="670"/>
      <c r="N188" s="670"/>
      <c r="O188" s="670"/>
      <c r="P188" s="670"/>
      <c r="Q188" s="670"/>
      <c r="R188" s="670"/>
      <c r="S188" s="670"/>
      <c r="T188" s="670"/>
      <c r="U188" s="670"/>
      <c r="V188" s="670"/>
      <c r="W188" s="670"/>
      <c r="X188" s="671">
        <v>4000</v>
      </c>
      <c r="Y188" s="671">
        <v>4000</v>
      </c>
      <c r="Z188" s="673"/>
      <c r="AA188" s="673"/>
      <c r="AB188" s="671"/>
      <c r="AC188" s="669"/>
      <c r="AD188" s="669"/>
      <c r="AE188" s="669"/>
      <c r="AF188" s="669"/>
      <c r="AG188" s="669"/>
      <c r="AH188" s="669"/>
      <c r="AI188" s="669"/>
      <c r="AJ188" s="672"/>
      <c r="AK188" s="673"/>
      <c r="AL188" s="673">
        <v>51</v>
      </c>
      <c r="AM188" s="665">
        <v>3949</v>
      </c>
      <c r="AN188" s="665">
        <v>3949</v>
      </c>
      <c r="AO188" s="665"/>
      <c r="AP188" s="665"/>
      <c r="AQ188" s="666"/>
      <c r="AR188" s="666"/>
      <c r="AS188" s="674">
        <v>3949</v>
      </c>
      <c r="AT188" s="674">
        <v>3949</v>
      </c>
      <c r="AU188" s="660"/>
      <c r="AV188" s="660"/>
      <c r="AW188" s="148"/>
      <c r="AX188" s="119"/>
    </row>
    <row r="189" spans="1:50" ht="31.5" x14ac:dyDescent="0.25">
      <c r="A189" s="448">
        <v>6</v>
      </c>
      <c r="B189" s="449" t="s">
        <v>1868</v>
      </c>
      <c r="C189" s="450" t="s">
        <v>1539</v>
      </c>
      <c r="D189" s="450"/>
      <c r="E189" s="450" t="s">
        <v>404</v>
      </c>
      <c r="F189" s="450"/>
      <c r="G189" s="669">
        <v>2000</v>
      </c>
      <c r="H189" s="669">
        <v>2000</v>
      </c>
      <c r="I189" s="670"/>
      <c r="J189" s="670"/>
      <c r="K189" s="670"/>
      <c r="L189" s="670"/>
      <c r="M189" s="670"/>
      <c r="N189" s="670"/>
      <c r="O189" s="670"/>
      <c r="P189" s="670"/>
      <c r="Q189" s="670"/>
      <c r="R189" s="670"/>
      <c r="S189" s="670"/>
      <c r="T189" s="670"/>
      <c r="U189" s="670"/>
      <c r="V189" s="670"/>
      <c r="W189" s="670"/>
      <c r="X189" s="671">
        <v>1950</v>
      </c>
      <c r="Y189" s="671">
        <v>1950</v>
      </c>
      <c r="Z189" s="673"/>
      <c r="AA189" s="673"/>
      <c r="AB189" s="671"/>
      <c r="AC189" s="669"/>
      <c r="AD189" s="669"/>
      <c r="AE189" s="669"/>
      <c r="AF189" s="669"/>
      <c r="AG189" s="669"/>
      <c r="AH189" s="669"/>
      <c r="AI189" s="669"/>
      <c r="AJ189" s="672"/>
      <c r="AK189" s="673"/>
      <c r="AL189" s="673">
        <v>71</v>
      </c>
      <c r="AM189" s="665">
        <v>1879</v>
      </c>
      <c r="AN189" s="665">
        <v>1879</v>
      </c>
      <c r="AO189" s="665"/>
      <c r="AP189" s="665"/>
      <c r="AQ189" s="666"/>
      <c r="AR189" s="666"/>
      <c r="AS189" s="674">
        <v>1879</v>
      </c>
      <c r="AT189" s="674">
        <v>1879</v>
      </c>
      <c r="AU189" s="660"/>
      <c r="AV189" s="660"/>
      <c r="AW189" s="148"/>
      <c r="AX189" s="119"/>
    </row>
    <row r="190" spans="1:50" ht="47.25" x14ac:dyDescent="0.25">
      <c r="A190" s="448">
        <v>7</v>
      </c>
      <c r="B190" s="449" t="s">
        <v>1869</v>
      </c>
      <c r="C190" s="450" t="s">
        <v>1521</v>
      </c>
      <c r="D190" s="450"/>
      <c r="E190" s="450" t="s">
        <v>404</v>
      </c>
      <c r="F190" s="450"/>
      <c r="G190" s="669">
        <v>4250</v>
      </c>
      <c r="H190" s="669">
        <v>4250</v>
      </c>
      <c r="I190" s="670"/>
      <c r="J190" s="670"/>
      <c r="K190" s="670"/>
      <c r="L190" s="670"/>
      <c r="M190" s="670"/>
      <c r="N190" s="670"/>
      <c r="O190" s="670"/>
      <c r="P190" s="670"/>
      <c r="Q190" s="670"/>
      <c r="R190" s="670"/>
      <c r="S190" s="670"/>
      <c r="T190" s="670"/>
      <c r="U190" s="670"/>
      <c r="V190" s="670"/>
      <c r="W190" s="670"/>
      <c r="X190" s="671">
        <v>4250</v>
      </c>
      <c r="Y190" s="671">
        <v>4250</v>
      </c>
      <c r="Z190" s="673"/>
      <c r="AA190" s="673"/>
      <c r="AB190" s="671"/>
      <c r="AC190" s="669"/>
      <c r="AD190" s="669"/>
      <c r="AE190" s="669"/>
      <c r="AF190" s="669"/>
      <c r="AG190" s="669"/>
      <c r="AH190" s="669"/>
      <c r="AI190" s="669"/>
      <c r="AJ190" s="672"/>
      <c r="AK190" s="673"/>
      <c r="AL190" s="673">
        <v>154</v>
      </c>
      <c r="AM190" s="665">
        <v>4096</v>
      </c>
      <c r="AN190" s="665">
        <v>4096</v>
      </c>
      <c r="AO190" s="665"/>
      <c r="AP190" s="665"/>
      <c r="AQ190" s="666"/>
      <c r="AR190" s="666"/>
      <c r="AS190" s="674">
        <v>4096</v>
      </c>
      <c r="AT190" s="674">
        <v>4096</v>
      </c>
      <c r="AU190" s="660"/>
      <c r="AV190" s="660"/>
      <c r="AW190" s="148"/>
      <c r="AX190" s="119"/>
    </row>
    <row r="191" spans="1:50" ht="47.25" x14ac:dyDescent="0.25">
      <c r="A191" s="448">
        <v>8</v>
      </c>
      <c r="B191" s="449" t="s">
        <v>1870</v>
      </c>
      <c r="C191" s="450" t="s">
        <v>1531</v>
      </c>
      <c r="D191" s="450"/>
      <c r="E191" s="450" t="s">
        <v>70</v>
      </c>
      <c r="F191" s="450"/>
      <c r="G191" s="669">
        <v>1000</v>
      </c>
      <c r="H191" s="669">
        <v>1000</v>
      </c>
      <c r="I191" s="670"/>
      <c r="J191" s="670"/>
      <c r="K191" s="670"/>
      <c r="L191" s="670"/>
      <c r="M191" s="670"/>
      <c r="N191" s="670"/>
      <c r="O191" s="670"/>
      <c r="P191" s="670"/>
      <c r="Q191" s="670"/>
      <c r="R191" s="670"/>
      <c r="S191" s="670"/>
      <c r="T191" s="670"/>
      <c r="U191" s="670"/>
      <c r="V191" s="670"/>
      <c r="W191" s="670"/>
      <c r="X191" s="671">
        <v>960</v>
      </c>
      <c r="Y191" s="671">
        <v>960</v>
      </c>
      <c r="Z191" s="673"/>
      <c r="AA191" s="673"/>
      <c r="AB191" s="671"/>
      <c r="AC191" s="669"/>
      <c r="AD191" s="669"/>
      <c r="AE191" s="669"/>
      <c r="AF191" s="669"/>
      <c r="AG191" s="669"/>
      <c r="AH191" s="669"/>
      <c r="AI191" s="669"/>
      <c r="AJ191" s="672"/>
      <c r="AK191" s="673"/>
      <c r="AL191" s="673">
        <v>36</v>
      </c>
      <c r="AM191" s="665">
        <v>924</v>
      </c>
      <c r="AN191" s="665">
        <v>924</v>
      </c>
      <c r="AO191" s="665"/>
      <c r="AP191" s="665"/>
      <c r="AQ191" s="666"/>
      <c r="AR191" s="666"/>
      <c r="AS191" s="674">
        <v>924</v>
      </c>
      <c r="AT191" s="674">
        <v>924</v>
      </c>
      <c r="AU191" s="660"/>
      <c r="AV191" s="660"/>
      <c r="AW191" s="148"/>
      <c r="AX191" s="119"/>
    </row>
    <row r="192" spans="1:50" ht="31.5" x14ac:dyDescent="0.25">
      <c r="A192" s="448">
        <v>9</v>
      </c>
      <c r="B192" s="449" t="s">
        <v>1871</v>
      </c>
      <c r="C192" s="450" t="s">
        <v>1527</v>
      </c>
      <c r="D192" s="450"/>
      <c r="E192" s="450" t="s">
        <v>933</v>
      </c>
      <c r="F192" s="450"/>
      <c r="G192" s="673"/>
      <c r="H192" s="673"/>
      <c r="I192" s="670"/>
      <c r="J192" s="670"/>
      <c r="K192" s="670"/>
      <c r="L192" s="670"/>
      <c r="M192" s="670"/>
      <c r="N192" s="670"/>
      <c r="O192" s="670"/>
      <c r="P192" s="670"/>
      <c r="Q192" s="670"/>
      <c r="R192" s="670"/>
      <c r="S192" s="670"/>
      <c r="T192" s="670"/>
      <c r="U192" s="670"/>
      <c r="V192" s="670"/>
      <c r="W192" s="670"/>
      <c r="X192" s="671">
        <v>3640</v>
      </c>
      <c r="Y192" s="671">
        <v>3600</v>
      </c>
      <c r="Z192" s="673"/>
      <c r="AA192" s="673"/>
      <c r="AB192" s="671"/>
      <c r="AC192" s="669"/>
      <c r="AD192" s="669"/>
      <c r="AE192" s="669"/>
      <c r="AF192" s="669"/>
      <c r="AG192" s="669"/>
      <c r="AH192" s="669"/>
      <c r="AI192" s="669"/>
      <c r="AJ192" s="672"/>
      <c r="AK192" s="673"/>
      <c r="AL192" s="673">
        <v>183</v>
      </c>
      <c r="AM192" s="665">
        <v>3457</v>
      </c>
      <c r="AN192" s="665">
        <v>3417</v>
      </c>
      <c r="AO192" s="665"/>
      <c r="AP192" s="665"/>
      <c r="AQ192" s="666"/>
      <c r="AR192" s="666"/>
      <c r="AS192" s="674">
        <v>3457</v>
      </c>
      <c r="AT192" s="674">
        <v>3417</v>
      </c>
      <c r="AU192" s="660"/>
      <c r="AV192" s="660"/>
      <c r="AW192" s="5"/>
      <c r="AX192" s="119"/>
    </row>
    <row r="193" spans="1:50" ht="47.25" x14ac:dyDescent="0.25">
      <c r="A193" s="448">
        <v>10</v>
      </c>
      <c r="B193" s="449" t="s">
        <v>1872</v>
      </c>
      <c r="C193" s="450" t="s">
        <v>1533</v>
      </c>
      <c r="D193" s="450"/>
      <c r="E193" s="450" t="s">
        <v>933</v>
      </c>
      <c r="F193" s="450"/>
      <c r="G193" s="673"/>
      <c r="H193" s="673"/>
      <c r="I193" s="670"/>
      <c r="J193" s="670"/>
      <c r="K193" s="670"/>
      <c r="L193" s="670"/>
      <c r="M193" s="670"/>
      <c r="N193" s="670"/>
      <c r="O193" s="670"/>
      <c r="P193" s="670"/>
      <c r="Q193" s="670"/>
      <c r="R193" s="670"/>
      <c r="S193" s="670"/>
      <c r="T193" s="670"/>
      <c r="U193" s="670"/>
      <c r="V193" s="670"/>
      <c r="W193" s="670"/>
      <c r="X193" s="671">
        <v>3741</v>
      </c>
      <c r="Y193" s="671">
        <v>3677</v>
      </c>
      <c r="Z193" s="673"/>
      <c r="AA193" s="673"/>
      <c r="AB193" s="671"/>
      <c r="AC193" s="669"/>
      <c r="AD193" s="669"/>
      <c r="AE193" s="669"/>
      <c r="AF193" s="669"/>
      <c r="AG193" s="669"/>
      <c r="AH193" s="669"/>
      <c r="AI193" s="669"/>
      <c r="AJ193" s="672"/>
      <c r="AK193" s="673"/>
      <c r="AL193" s="673">
        <v>17</v>
      </c>
      <c r="AM193" s="665">
        <v>3724</v>
      </c>
      <c r="AN193" s="665">
        <v>3660</v>
      </c>
      <c r="AO193" s="665"/>
      <c r="AP193" s="665"/>
      <c r="AQ193" s="666"/>
      <c r="AR193" s="666"/>
      <c r="AS193" s="674">
        <v>3724</v>
      </c>
      <c r="AT193" s="674">
        <v>3660</v>
      </c>
      <c r="AU193" s="660"/>
      <c r="AV193" s="660"/>
      <c r="AW193" s="148"/>
      <c r="AX193" s="119"/>
    </row>
    <row r="194" spans="1:50" s="14" customFormat="1" ht="47.25" x14ac:dyDescent="0.25">
      <c r="A194" s="448">
        <v>11</v>
      </c>
      <c r="B194" s="449" t="s">
        <v>1873</v>
      </c>
      <c r="C194" s="450" t="s">
        <v>1546</v>
      </c>
      <c r="D194" s="450"/>
      <c r="E194" s="450" t="s">
        <v>933</v>
      </c>
      <c r="F194" s="450"/>
      <c r="G194" s="673"/>
      <c r="H194" s="673"/>
      <c r="I194" s="670"/>
      <c r="J194" s="670"/>
      <c r="K194" s="670"/>
      <c r="L194" s="670"/>
      <c r="M194" s="670"/>
      <c r="N194" s="670"/>
      <c r="O194" s="670"/>
      <c r="P194" s="670"/>
      <c r="Q194" s="670"/>
      <c r="R194" s="670"/>
      <c r="S194" s="670"/>
      <c r="T194" s="670"/>
      <c r="U194" s="670"/>
      <c r="V194" s="670"/>
      <c r="W194" s="670"/>
      <c r="X194" s="671">
        <v>3200</v>
      </c>
      <c r="Y194" s="671">
        <v>3165</v>
      </c>
      <c r="Z194" s="673"/>
      <c r="AA194" s="673"/>
      <c r="AB194" s="671"/>
      <c r="AC194" s="669"/>
      <c r="AD194" s="669"/>
      <c r="AE194" s="669"/>
      <c r="AF194" s="669"/>
      <c r="AG194" s="669"/>
      <c r="AH194" s="669"/>
      <c r="AI194" s="669"/>
      <c r="AJ194" s="672"/>
      <c r="AK194" s="673"/>
      <c r="AL194" s="673">
        <v>0</v>
      </c>
      <c r="AM194" s="665">
        <v>3200</v>
      </c>
      <c r="AN194" s="665">
        <v>3165</v>
      </c>
      <c r="AO194" s="665"/>
      <c r="AP194" s="665"/>
      <c r="AQ194" s="666"/>
      <c r="AR194" s="666"/>
      <c r="AS194" s="76">
        <v>3200</v>
      </c>
      <c r="AT194" s="76">
        <v>3165</v>
      </c>
      <c r="AU194" s="78"/>
      <c r="AV194" s="78"/>
      <c r="AW194" s="13"/>
    </row>
    <row r="195" spans="1:50" ht="31.5" x14ac:dyDescent="0.25">
      <c r="A195" s="448">
        <v>12</v>
      </c>
      <c r="B195" s="449" t="s">
        <v>1874</v>
      </c>
      <c r="C195" s="450" t="s">
        <v>1527</v>
      </c>
      <c r="D195" s="450"/>
      <c r="E195" s="450" t="s">
        <v>933</v>
      </c>
      <c r="F195" s="450"/>
      <c r="G195" s="673"/>
      <c r="H195" s="673"/>
      <c r="I195" s="670"/>
      <c r="J195" s="670"/>
      <c r="K195" s="670"/>
      <c r="L195" s="670"/>
      <c r="M195" s="670"/>
      <c r="N195" s="670"/>
      <c r="O195" s="670"/>
      <c r="P195" s="670"/>
      <c r="Q195" s="670"/>
      <c r="R195" s="670"/>
      <c r="S195" s="670"/>
      <c r="T195" s="670"/>
      <c r="U195" s="670"/>
      <c r="V195" s="670"/>
      <c r="W195" s="670"/>
      <c r="X195" s="671">
        <v>3200</v>
      </c>
      <c r="Y195" s="671">
        <v>3165</v>
      </c>
      <c r="Z195" s="673"/>
      <c r="AA195" s="673"/>
      <c r="AB195" s="671"/>
      <c r="AC195" s="669"/>
      <c r="AD195" s="669"/>
      <c r="AE195" s="669"/>
      <c r="AF195" s="669"/>
      <c r="AG195" s="669"/>
      <c r="AH195" s="669"/>
      <c r="AI195" s="669"/>
      <c r="AJ195" s="672"/>
      <c r="AK195" s="673"/>
      <c r="AL195" s="673">
        <v>3165</v>
      </c>
      <c r="AM195" s="665"/>
      <c r="AN195" s="665"/>
      <c r="AO195" s="665"/>
      <c r="AP195" s="665"/>
      <c r="AQ195" s="666"/>
      <c r="AR195" s="666"/>
      <c r="AS195" s="674"/>
      <c r="AT195" s="674"/>
      <c r="AU195" s="660"/>
      <c r="AV195" s="660"/>
      <c r="AW195" s="148"/>
      <c r="AX195" s="119"/>
    </row>
    <row r="196" spans="1:50" ht="47.25" x14ac:dyDescent="0.25">
      <c r="A196" s="448">
        <v>13</v>
      </c>
      <c r="B196" s="449" t="s">
        <v>1875</v>
      </c>
      <c r="C196" s="450" t="s">
        <v>1519</v>
      </c>
      <c r="D196" s="450"/>
      <c r="E196" s="450" t="s">
        <v>933</v>
      </c>
      <c r="F196" s="450"/>
      <c r="G196" s="673"/>
      <c r="H196" s="673"/>
      <c r="I196" s="670"/>
      <c r="J196" s="670"/>
      <c r="K196" s="670"/>
      <c r="L196" s="670"/>
      <c r="M196" s="670"/>
      <c r="N196" s="670"/>
      <c r="O196" s="670"/>
      <c r="P196" s="670"/>
      <c r="Q196" s="670"/>
      <c r="R196" s="670"/>
      <c r="S196" s="670"/>
      <c r="T196" s="670"/>
      <c r="U196" s="670"/>
      <c r="V196" s="670"/>
      <c r="W196" s="670"/>
      <c r="X196" s="671">
        <v>3700</v>
      </c>
      <c r="Y196" s="671">
        <v>3663</v>
      </c>
      <c r="Z196" s="673"/>
      <c r="AA196" s="673"/>
      <c r="AB196" s="671"/>
      <c r="AC196" s="669"/>
      <c r="AD196" s="669"/>
      <c r="AE196" s="669"/>
      <c r="AF196" s="669"/>
      <c r="AG196" s="669"/>
      <c r="AH196" s="669"/>
      <c r="AI196" s="669"/>
      <c r="AJ196" s="672"/>
      <c r="AK196" s="673"/>
      <c r="AL196" s="673">
        <v>0</v>
      </c>
      <c r="AM196" s="665">
        <v>3700</v>
      </c>
      <c r="AN196" s="665">
        <v>3663</v>
      </c>
      <c r="AO196" s="665"/>
      <c r="AP196" s="665"/>
      <c r="AQ196" s="666"/>
      <c r="AR196" s="666"/>
      <c r="AS196" s="53">
        <v>3700</v>
      </c>
      <c r="AT196" s="53">
        <v>3663</v>
      </c>
      <c r="AU196" s="741"/>
      <c r="AV196" s="741"/>
      <c r="AW196" s="148"/>
      <c r="AX196" s="119"/>
    </row>
    <row r="197" spans="1:50" ht="47.25" x14ac:dyDescent="0.25">
      <c r="A197" s="448">
        <v>14</v>
      </c>
      <c r="B197" s="449" t="s">
        <v>1876</v>
      </c>
      <c r="C197" s="450" t="s">
        <v>1546</v>
      </c>
      <c r="D197" s="450"/>
      <c r="E197" s="450" t="s">
        <v>61</v>
      </c>
      <c r="F197" s="450"/>
      <c r="G197" s="673"/>
      <c r="H197" s="673"/>
      <c r="I197" s="670"/>
      <c r="J197" s="670"/>
      <c r="K197" s="670"/>
      <c r="L197" s="670"/>
      <c r="M197" s="670"/>
      <c r="N197" s="670"/>
      <c r="O197" s="670"/>
      <c r="P197" s="670"/>
      <c r="Q197" s="670"/>
      <c r="R197" s="670"/>
      <c r="S197" s="670"/>
      <c r="T197" s="670"/>
      <c r="U197" s="670"/>
      <c r="V197" s="670"/>
      <c r="W197" s="670"/>
      <c r="X197" s="671">
        <v>2800</v>
      </c>
      <c r="Y197" s="671">
        <v>2772</v>
      </c>
      <c r="Z197" s="673"/>
      <c r="AA197" s="673"/>
      <c r="AB197" s="671"/>
      <c r="AC197" s="669"/>
      <c r="AD197" s="669"/>
      <c r="AE197" s="669"/>
      <c r="AF197" s="669"/>
      <c r="AG197" s="669"/>
      <c r="AH197" s="669"/>
      <c r="AI197" s="669"/>
      <c r="AJ197" s="672"/>
      <c r="AK197" s="673"/>
      <c r="AL197" s="673">
        <v>0</v>
      </c>
      <c r="AM197" s="665">
        <v>2800</v>
      </c>
      <c r="AN197" s="665">
        <v>2772</v>
      </c>
      <c r="AO197" s="665"/>
      <c r="AP197" s="665"/>
      <c r="AQ197" s="666"/>
      <c r="AR197" s="666"/>
      <c r="AS197" s="674">
        <v>2800</v>
      </c>
      <c r="AT197" s="674">
        <v>2772</v>
      </c>
      <c r="AU197" s="660"/>
      <c r="AV197" s="660"/>
      <c r="AW197" s="148"/>
      <c r="AX197" s="119"/>
    </row>
    <row r="198" spans="1:50" ht="31.5" x14ac:dyDescent="0.25">
      <c r="A198" s="448">
        <v>15</v>
      </c>
      <c r="B198" s="449" t="s">
        <v>1877</v>
      </c>
      <c r="C198" s="450" t="s">
        <v>1523</v>
      </c>
      <c r="D198" s="450"/>
      <c r="E198" s="450" t="s">
        <v>61</v>
      </c>
      <c r="F198" s="450"/>
      <c r="G198" s="673"/>
      <c r="H198" s="673"/>
      <c r="I198" s="670"/>
      <c r="J198" s="670"/>
      <c r="K198" s="670"/>
      <c r="L198" s="670"/>
      <c r="M198" s="670"/>
      <c r="N198" s="670"/>
      <c r="O198" s="670"/>
      <c r="P198" s="670"/>
      <c r="Q198" s="670"/>
      <c r="R198" s="670"/>
      <c r="S198" s="670"/>
      <c r="T198" s="670"/>
      <c r="U198" s="670"/>
      <c r="V198" s="670"/>
      <c r="W198" s="670"/>
      <c r="X198" s="671">
        <v>2300</v>
      </c>
      <c r="Y198" s="671">
        <v>2275</v>
      </c>
      <c r="Z198" s="673"/>
      <c r="AA198" s="673"/>
      <c r="AB198" s="671"/>
      <c r="AC198" s="669"/>
      <c r="AD198" s="669"/>
      <c r="AE198" s="669"/>
      <c r="AF198" s="669"/>
      <c r="AG198" s="669"/>
      <c r="AH198" s="669"/>
      <c r="AI198" s="669"/>
      <c r="AJ198" s="672"/>
      <c r="AK198" s="673"/>
      <c r="AL198" s="673">
        <v>94</v>
      </c>
      <c r="AM198" s="665">
        <v>2206</v>
      </c>
      <c r="AN198" s="665">
        <v>2181</v>
      </c>
      <c r="AO198" s="665"/>
      <c r="AP198" s="665"/>
      <c r="AQ198" s="666"/>
      <c r="AR198" s="666"/>
      <c r="AS198" s="674">
        <v>2206</v>
      </c>
      <c r="AT198" s="674">
        <v>2181</v>
      </c>
      <c r="AU198" s="660"/>
      <c r="AV198" s="660"/>
      <c r="AW198" s="148"/>
      <c r="AX198" s="119"/>
    </row>
    <row r="199" spans="1:50" ht="47.25" x14ac:dyDescent="0.25">
      <c r="A199" s="448">
        <v>16</v>
      </c>
      <c r="B199" s="449" t="s">
        <v>1878</v>
      </c>
      <c r="C199" s="450" t="s">
        <v>1529</v>
      </c>
      <c r="D199" s="450"/>
      <c r="E199" s="450" t="s">
        <v>61</v>
      </c>
      <c r="F199" s="450"/>
      <c r="G199" s="673"/>
      <c r="H199" s="673"/>
      <c r="I199" s="670"/>
      <c r="J199" s="670"/>
      <c r="K199" s="670"/>
      <c r="L199" s="670"/>
      <c r="M199" s="670"/>
      <c r="N199" s="670"/>
      <c r="O199" s="670"/>
      <c r="P199" s="670"/>
      <c r="Q199" s="670"/>
      <c r="R199" s="670"/>
      <c r="S199" s="670"/>
      <c r="T199" s="670"/>
      <c r="U199" s="670"/>
      <c r="V199" s="670"/>
      <c r="W199" s="670"/>
      <c r="X199" s="671">
        <v>3650</v>
      </c>
      <c r="Y199" s="671">
        <v>3610</v>
      </c>
      <c r="Z199" s="673"/>
      <c r="AA199" s="673"/>
      <c r="AB199" s="671"/>
      <c r="AC199" s="669"/>
      <c r="AD199" s="669"/>
      <c r="AE199" s="669"/>
      <c r="AF199" s="669"/>
      <c r="AG199" s="669"/>
      <c r="AH199" s="669"/>
      <c r="AI199" s="669"/>
      <c r="AJ199" s="672"/>
      <c r="AK199" s="673"/>
      <c r="AL199" s="673">
        <v>3610</v>
      </c>
      <c r="AM199" s="665"/>
      <c r="AN199" s="665"/>
      <c r="AO199" s="665"/>
      <c r="AP199" s="665"/>
      <c r="AQ199" s="666"/>
      <c r="AR199" s="666"/>
      <c r="AS199" s="674"/>
      <c r="AT199" s="674"/>
      <c r="AU199" s="660"/>
      <c r="AV199" s="660"/>
      <c r="AW199" s="742"/>
      <c r="AX199" s="119"/>
    </row>
    <row r="200" spans="1:50" ht="31.5" x14ac:dyDescent="0.25">
      <c r="A200" s="448">
        <v>17</v>
      </c>
      <c r="B200" s="449" t="s">
        <v>1879</v>
      </c>
      <c r="C200" s="450" t="s">
        <v>1539</v>
      </c>
      <c r="D200" s="450"/>
      <c r="E200" s="450" t="s">
        <v>61</v>
      </c>
      <c r="F200" s="450"/>
      <c r="G200" s="673"/>
      <c r="H200" s="673"/>
      <c r="I200" s="670"/>
      <c r="J200" s="670"/>
      <c r="K200" s="670"/>
      <c r="L200" s="670"/>
      <c r="M200" s="670"/>
      <c r="N200" s="670"/>
      <c r="O200" s="670"/>
      <c r="P200" s="670"/>
      <c r="Q200" s="670"/>
      <c r="R200" s="670"/>
      <c r="S200" s="670"/>
      <c r="T200" s="670"/>
      <c r="U200" s="670"/>
      <c r="V200" s="670"/>
      <c r="W200" s="670"/>
      <c r="X200" s="671">
        <v>3000</v>
      </c>
      <c r="Y200" s="671">
        <v>2970</v>
      </c>
      <c r="Z200" s="673"/>
      <c r="AA200" s="673"/>
      <c r="AB200" s="671"/>
      <c r="AC200" s="669"/>
      <c r="AD200" s="669"/>
      <c r="AE200" s="669"/>
      <c r="AF200" s="669"/>
      <c r="AG200" s="669"/>
      <c r="AH200" s="669"/>
      <c r="AI200" s="669"/>
      <c r="AJ200" s="672"/>
      <c r="AK200" s="673"/>
      <c r="AL200" s="673">
        <v>303</v>
      </c>
      <c r="AM200" s="665">
        <v>2697</v>
      </c>
      <c r="AN200" s="665">
        <v>2667</v>
      </c>
      <c r="AO200" s="665"/>
      <c r="AP200" s="665"/>
      <c r="AQ200" s="666"/>
      <c r="AR200" s="666"/>
      <c r="AS200" s="674">
        <v>2697</v>
      </c>
      <c r="AT200" s="674">
        <v>2667</v>
      </c>
      <c r="AU200" s="660"/>
      <c r="AV200" s="660"/>
      <c r="AW200" s="148"/>
      <c r="AX200" s="119"/>
    </row>
    <row r="201" spans="1:50" ht="31.5" x14ac:dyDescent="0.25">
      <c r="A201" s="448">
        <v>18</v>
      </c>
      <c r="B201" s="449" t="s">
        <v>1880</v>
      </c>
      <c r="C201" s="450" t="s">
        <v>1525</v>
      </c>
      <c r="D201" s="450"/>
      <c r="E201" s="450" t="s">
        <v>61</v>
      </c>
      <c r="F201" s="450"/>
      <c r="G201" s="673"/>
      <c r="H201" s="673"/>
      <c r="I201" s="670"/>
      <c r="J201" s="670"/>
      <c r="K201" s="670"/>
      <c r="L201" s="670"/>
      <c r="M201" s="670"/>
      <c r="N201" s="670"/>
      <c r="O201" s="670"/>
      <c r="P201" s="670"/>
      <c r="Q201" s="670"/>
      <c r="R201" s="670"/>
      <c r="S201" s="670"/>
      <c r="T201" s="670"/>
      <c r="U201" s="670"/>
      <c r="V201" s="670"/>
      <c r="W201" s="670"/>
      <c r="X201" s="671">
        <v>1400</v>
      </c>
      <c r="Y201" s="671">
        <v>1385</v>
      </c>
      <c r="Z201" s="673"/>
      <c r="AA201" s="673"/>
      <c r="AB201" s="671"/>
      <c r="AC201" s="669"/>
      <c r="AD201" s="669"/>
      <c r="AE201" s="669"/>
      <c r="AF201" s="669"/>
      <c r="AG201" s="669"/>
      <c r="AH201" s="669"/>
      <c r="AI201" s="669"/>
      <c r="AJ201" s="672"/>
      <c r="AK201" s="673"/>
      <c r="AL201" s="673">
        <v>1385</v>
      </c>
      <c r="AM201" s="665"/>
      <c r="AN201" s="665"/>
      <c r="AO201" s="665"/>
      <c r="AP201" s="665"/>
      <c r="AQ201" s="666"/>
      <c r="AR201" s="666"/>
      <c r="AS201" s="674"/>
      <c r="AT201" s="674"/>
      <c r="AU201" s="660"/>
      <c r="AV201" s="660"/>
      <c r="AW201" s="148"/>
      <c r="AX201" s="119"/>
    </row>
    <row r="202" spans="1:50" ht="26.25" customHeight="1" x14ac:dyDescent="0.25">
      <c r="A202" s="646" t="s">
        <v>1881</v>
      </c>
      <c r="B202" s="647" t="s">
        <v>1882</v>
      </c>
      <c r="C202" s="464"/>
      <c r="D202" s="464"/>
      <c r="E202" s="613"/>
      <c r="F202" s="464"/>
      <c r="G202" s="664">
        <v>113066</v>
      </c>
      <c r="H202" s="664">
        <v>87090</v>
      </c>
      <c r="I202" s="659"/>
      <c r="J202" s="659"/>
      <c r="K202" s="659"/>
      <c r="L202" s="659"/>
      <c r="M202" s="659"/>
      <c r="N202" s="659"/>
      <c r="O202" s="659"/>
      <c r="P202" s="659"/>
      <c r="Q202" s="659"/>
      <c r="R202" s="659"/>
      <c r="S202" s="659"/>
      <c r="T202" s="659"/>
      <c r="U202" s="659"/>
      <c r="V202" s="659"/>
      <c r="W202" s="659"/>
      <c r="X202" s="662">
        <v>113066</v>
      </c>
      <c r="Y202" s="662">
        <v>87090</v>
      </c>
      <c r="Z202" s="662">
        <v>0</v>
      </c>
      <c r="AA202" s="662">
        <v>0</v>
      </c>
      <c r="AB202" s="662">
        <v>0</v>
      </c>
      <c r="AC202" s="662">
        <v>0</v>
      </c>
      <c r="AD202" s="662">
        <v>0</v>
      </c>
      <c r="AE202" s="662">
        <v>0</v>
      </c>
      <c r="AF202" s="662">
        <v>0</v>
      </c>
      <c r="AG202" s="662">
        <v>0</v>
      </c>
      <c r="AH202" s="662">
        <v>0</v>
      </c>
      <c r="AI202" s="662">
        <v>0</v>
      </c>
      <c r="AJ202" s="662">
        <v>0</v>
      </c>
      <c r="AK202" s="662">
        <v>6430</v>
      </c>
      <c r="AL202" s="662">
        <v>14348</v>
      </c>
      <c r="AM202" s="703">
        <f t="shared" ref="AM202:AV202" si="23">AM203+AM204</f>
        <v>107564</v>
      </c>
      <c r="AN202" s="703">
        <f t="shared" si="23"/>
        <v>79172</v>
      </c>
      <c r="AO202" s="703">
        <f t="shared" si="23"/>
        <v>0</v>
      </c>
      <c r="AP202" s="703">
        <f t="shared" si="23"/>
        <v>0</v>
      </c>
      <c r="AQ202" s="703">
        <f t="shared" si="23"/>
        <v>2423</v>
      </c>
      <c r="AR202" s="703">
        <f t="shared" si="23"/>
        <v>2423</v>
      </c>
      <c r="AS202" s="703">
        <f t="shared" si="23"/>
        <v>107809</v>
      </c>
      <c r="AT202" s="703">
        <f t="shared" si="23"/>
        <v>79172</v>
      </c>
      <c r="AU202" s="703">
        <f t="shared" si="23"/>
        <v>0</v>
      </c>
      <c r="AV202" s="703">
        <f t="shared" si="23"/>
        <v>0</v>
      </c>
      <c r="AW202" s="148"/>
      <c r="AX202" s="119"/>
    </row>
    <row r="203" spans="1:50" ht="47.25" x14ac:dyDescent="0.25">
      <c r="A203" s="469" t="s">
        <v>730</v>
      </c>
      <c r="B203" s="470" t="s">
        <v>1670</v>
      </c>
      <c r="C203" s="471"/>
      <c r="D203" s="471"/>
      <c r="E203" s="471"/>
      <c r="F203" s="450"/>
      <c r="G203" s="669">
        <v>19716</v>
      </c>
      <c r="H203" s="669">
        <v>19716</v>
      </c>
      <c r="I203" s="670"/>
      <c r="J203" s="670"/>
      <c r="K203" s="670"/>
      <c r="L203" s="670"/>
      <c r="M203" s="670"/>
      <c r="N203" s="670"/>
      <c r="O203" s="670"/>
      <c r="P203" s="670"/>
      <c r="Q203" s="670"/>
      <c r="R203" s="670"/>
      <c r="S203" s="670"/>
      <c r="T203" s="670"/>
      <c r="U203" s="670"/>
      <c r="V203" s="670"/>
      <c r="W203" s="670"/>
      <c r="X203" s="671">
        <v>19716</v>
      </c>
      <c r="Y203" s="671">
        <v>19716</v>
      </c>
      <c r="Z203" s="673"/>
      <c r="AA203" s="673"/>
      <c r="AB203" s="671"/>
      <c r="AC203" s="669"/>
      <c r="AD203" s="669"/>
      <c r="AE203" s="669"/>
      <c r="AF203" s="669"/>
      <c r="AG203" s="669"/>
      <c r="AH203" s="669"/>
      <c r="AI203" s="669"/>
      <c r="AJ203" s="672"/>
      <c r="AK203" s="673"/>
      <c r="AL203" s="673"/>
      <c r="AM203" s="665">
        <v>19716</v>
      </c>
      <c r="AN203" s="665">
        <v>19716</v>
      </c>
      <c r="AO203" s="665"/>
      <c r="AP203" s="665"/>
      <c r="AQ203" s="666"/>
      <c r="AR203" s="666"/>
      <c r="AS203" s="674">
        <v>19716</v>
      </c>
      <c r="AT203" s="674">
        <v>19716</v>
      </c>
      <c r="AU203" s="660"/>
      <c r="AV203" s="660"/>
      <c r="AW203" s="148"/>
      <c r="AX203" s="119"/>
    </row>
    <row r="204" spans="1:50" ht="31.5" x14ac:dyDescent="0.25">
      <c r="A204" s="469" t="s">
        <v>730</v>
      </c>
      <c r="B204" s="470" t="s">
        <v>1862</v>
      </c>
      <c r="C204" s="471"/>
      <c r="D204" s="471"/>
      <c r="E204" s="471"/>
      <c r="F204" s="450"/>
      <c r="G204" s="672">
        <v>93350</v>
      </c>
      <c r="H204" s="672">
        <v>67374</v>
      </c>
      <c r="I204" s="672">
        <v>0</v>
      </c>
      <c r="J204" s="672">
        <v>0</v>
      </c>
      <c r="K204" s="672">
        <v>0</v>
      </c>
      <c r="L204" s="672">
        <v>0</v>
      </c>
      <c r="M204" s="672">
        <v>0</v>
      </c>
      <c r="N204" s="672">
        <v>0</v>
      </c>
      <c r="O204" s="672">
        <v>0</v>
      </c>
      <c r="P204" s="672">
        <v>0</v>
      </c>
      <c r="Q204" s="672">
        <v>0</v>
      </c>
      <c r="R204" s="672">
        <v>0</v>
      </c>
      <c r="S204" s="672">
        <v>0</v>
      </c>
      <c r="T204" s="672">
        <v>0</v>
      </c>
      <c r="U204" s="672">
        <v>0</v>
      </c>
      <c r="V204" s="672">
        <v>0</v>
      </c>
      <c r="W204" s="672">
        <v>0</v>
      </c>
      <c r="X204" s="672">
        <v>93350</v>
      </c>
      <c r="Y204" s="672">
        <v>67374</v>
      </c>
      <c r="Z204" s="672">
        <v>0</v>
      </c>
      <c r="AA204" s="672">
        <v>0</v>
      </c>
      <c r="AB204" s="672">
        <v>0</v>
      </c>
      <c r="AC204" s="672">
        <v>0</v>
      </c>
      <c r="AD204" s="672">
        <v>0</v>
      </c>
      <c r="AE204" s="672">
        <v>0</v>
      </c>
      <c r="AF204" s="672">
        <v>0</v>
      </c>
      <c r="AG204" s="672">
        <v>0</v>
      </c>
      <c r="AH204" s="672">
        <v>0</v>
      </c>
      <c r="AI204" s="672">
        <v>0</v>
      </c>
      <c r="AJ204" s="672">
        <v>0</v>
      </c>
      <c r="AK204" s="672">
        <v>6430</v>
      </c>
      <c r="AL204" s="672">
        <v>14348</v>
      </c>
      <c r="AM204" s="454">
        <f>SUM(AM205:AM252)</f>
        <v>87848</v>
      </c>
      <c r="AN204" s="454">
        <f t="shared" ref="AN204:AV204" si="24">SUM(AN205:AN252)</f>
        <v>59456</v>
      </c>
      <c r="AO204" s="454">
        <f t="shared" si="24"/>
        <v>0</v>
      </c>
      <c r="AP204" s="454">
        <f t="shared" si="24"/>
        <v>0</v>
      </c>
      <c r="AQ204" s="454">
        <f t="shared" si="24"/>
        <v>2423</v>
      </c>
      <c r="AR204" s="454">
        <f t="shared" si="24"/>
        <v>2423</v>
      </c>
      <c r="AS204" s="454">
        <f t="shared" si="24"/>
        <v>88093</v>
      </c>
      <c r="AT204" s="454">
        <f t="shared" si="24"/>
        <v>59456</v>
      </c>
      <c r="AU204" s="454">
        <f t="shared" si="24"/>
        <v>0</v>
      </c>
      <c r="AV204" s="454">
        <f t="shared" si="24"/>
        <v>0</v>
      </c>
      <c r="AW204" s="148"/>
      <c r="AX204" s="119"/>
    </row>
    <row r="205" spans="1:50" ht="31.5" x14ac:dyDescent="0.25">
      <c r="A205" s="448">
        <v>1</v>
      </c>
      <c r="B205" s="449" t="s">
        <v>1883</v>
      </c>
      <c r="C205" s="450" t="s">
        <v>1884</v>
      </c>
      <c r="D205" s="450"/>
      <c r="E205" s="450" t="s">
        <v>1063</v>
      </c>
      <c r="F205" s="450"/>
      <c r="G205" s="672">
        <v>1800</v>
      </c>
      <c r="H205" s="672">
        <v>1650</v>
      </c>
      <c r="I205" s="670"/>
      <c r="J205" s="670"/>
      <c r="K205" s="670"/>
      <c r="L205" s="670"/>
      <c r="M205" s="670"/>
      <c r="N205" s="670"/>
      <c r="O205" s="670"/>
      <c r="P205" s="670"/>
      <c r="Q205" s="670"/>
      <c r="R205" s="670"/>
      <c r="S205" s="670"/>
      <c r="T205" s="670"/>
      <c r="U205" s="670"/>
      <c r="V205" s="670"/>
      <c r="W205" s="670"/>
      <c r="X205" s="671">
        <v>1800</v>
      </c>
      <c r="Y205" s="671">
        <v>1650</v>
      </c>
      <c r="Z205" s="673"/>
      <c r="AA205" s="673"/>
      <c r="AB205" s="671"/>
      <c r="AC205" s="669"/>
      <c r="AD205" s="669"/>
      <c r="AE205" s="669"/>
      <c r="AF205" s="669"/>
      <c r="AG205" s="669"/>
      <c r="AH205" s="669"/>
      <c r="AI205" s="669"/>
      <c r="AJ205" s="672"/>
      <c r="AK205" s="673"/>
      <c r="AL205" s="673"/>
      <c r="AM205" s="665">
        <v>1800</v>
      </c>
      <c r="AN205" s="665">
        <v>1650</v>
      </c>
      <c r="AO205" s="665"/>
      <c r="AP205" s="665"/>
      <c r="AQ205" s="666"/>
      <c r="AR205" s="666"/>
      <c r="AS205" s="674">
        <v>1800</v>
      </c>
      <c r="AT205" s="674">
        <v>1650</v>
      </c>
      <c r="AU205" s="660"/>
      <c r="AV205" s="660"/>
      <c r="AW205" s="742"/>
      <c r="AX205" s="119"/>
    </row>
    <row r="206" spans="1:50" ht="47.25" x14ac:dyDescent="0.25">
      <c r="A206" s="448">
        <v>2</v>
      </c>
      <c r="B206" s="449" t="s">
        <v>1885</v>
      </c>
      <c r="C206" s="450" t="s">
        <v>1151</v>
      </c>
      <c r="D206" s="450"/>
      <c r="E206" s="450" t="s">
        <v>1063</v>
      </c>
      <c r="F206" s="450"/>
      <c r="G206" s="672">
        <v>1800</v>
      </c>
      <c r="H206" s="672">
        <v>1600</v>
      </c>
      <c r="I206" s="670"/>
      <c r="J206" s="670"/>
      <c r="K206" s="670"/>
      <c r="L206" s="670"/>
      <c r="M206" s="670"/>
      <c r="N206" s="670"/>
      <c r="O206" s="670"/>
      <c r="P206" s="670"/>
      <c r="Q206" s="670"/>
      <c r="R206" s="670"/>
      <c r="S206" s="670"/>
      <c r="T206" s="670"/>
      <c r="U206" s="670"/>
      <c r="V206" s="670"/>
      <c r="W206" s="670"/>
      <c r="X206" s="671">
        <v>1800</v>
      </c>
      <c r="Y206" s="671">
        <v>1600</v>
      </c>
      <c r="Z206" s="673"/>
      <c r="AA206" s="673"/>
      <c r="AB206" s="671"/>
      <c r="AC206" s="669"/>
      <c r="AD206" s="669"/>
      <c r="AE206" s="669"/>
      <c r="AF206" s="669"/>
      <c r="AG206" s="669"/>
      <c r="AH206" s="669"/>
      <c r="AI206" s="669"/>
      <c r="AJ206" s="672"/>
      <c r="AK206" s="673"/>
      <c r="AL206" s="673"/>
      <c r="AM206" s="665">
        <v>1800</v>
      </c>
      <c r="AN206" s="665">
        <v>1600</v>
      </c>
      <c r="AO206" s="665"/>
      <c r="AP206" s="665"/>
      <c r="AQ206" s="666"/>
      <c r="AR206" s="666"/>
      <c r="AS206" s="674">
        <v>1800</v>
      </c>
      <c r="AT206" s="674">
        <v>1600</v>
      </c>
      <c r="AU206" s="660"/>
      <c r="AV206" s="660"/>
      <c r="AW206" s="742"/>
      <c r="AX206" s="119"/>
    </row>
    <row r="207" spans="1:50" ht="31.5" x14ac:dyDescent="0.25">
      <c r="A207" s="448">
        <v>3</v>
      </c>
      <c r="B207" s="449" t="s">
        <v>1886</v>
      </c>
      <c r="C207" s="450" t="s">
        <v>1148</v>
      </c>
      <c r="D207" s="450"/>
      <c r="E207" s="450" t="s">
        <v>1063</v>
      </c>
      <c r="F207" s="450"/>
      <c r="G207" s="505">
        <v>1500</v>
      </c>
      <c r="H207" s="672">
        <v>1350</v>
      </c>
      <c r="I207" s="670"/>
      <c r="J207" s="670"/>
      <c r="K207" s="670"/>
      <c r="L207" s="670"/>
      <c r="M207" s="670"/>
      <c r="N207" s="670"/>
      <c r="O207" s="670"/>
      <c r="P207" s="670"/>
      <c r="Q207" s="670"/>
      <c r="R207" s="670"/>
      <c r="S207" s="670"/>
      <c r="T207" s="670"/>
      <c r="U207" s="670"/>
      <c r="V207" s="670"/>
      <c r="W207" s="670"/>
      <c r="X207" s="671">
        <v>1500</v>
      </c>
      <c r="Y207" s="671">
        <v>1350</v>
      </c>
      <c r="Z207" s="673"/>
      <c r="AA207" s="673"/>
      <c r="AB207" s="671"/>
      <c r="AC207" s="669"/>
      <c r="AD207" s="669"/>
      <c r="AE207" s="669"/>
      <c r="AF207" s="669"/>
      <c r="AG207" s="669"/>
      <c r="AH207" s="669"/>
      <c r="AI207" s="669"/>
      <c r="AJ207" s="672"/>
      <c r="AK207" s="673"/>
      <c r="AL207" s="673"/>
      <c r="AM207" s="665">
        <v>1500</v>
      </c>
      <c r="AN207" s="665">
        <v>1350</v>
      </c>
      <c r="AO207" s="665"/>
      <c r="AP207" s="665"/>
      <c r="AQ207" s="666"/>
      <c r="AR207" s="666"/>
      <c r="AS207" s="674">
        <v>1500</v>
      </c>
      <c r="AT207" s="674">
        <v>1350</v>
      </c>
      <c r="AU207" s="660"/>
      <c r="AV207" s="660"/>
      <c r="AW207" s="148"/>
      <c r="AX207" s="119"/>
    </row>
    <row r="208" spans="1:50" ht="47.25" x14ac:dyDescent="0.25">
      <c r="A208" s="448">
        <v>4</v>
      </c>
      <c r="B208" s="449" t="s">
        <v>1887</v>
      </c>
      <c r="C208" s="450" t="s">
        <v>1093</v>
      </c>
      <c r="D208" s="450"/>
      <c r="E208" s="450" t="s">
        <v>1063</v>
      </c>
      <c r="F208" s="450"/>
      <c r="G208" s="672">
        <v>2400</v>
      </c>
      <c r="H208" s="672">
        <v>2220</v>
      </c>
      <c r="I208" s="670"/>
      <c r="J208" s="670"/>
      <c r="K208" s="670"/>
      <c r="L208" s="670"/>
      <c r="M208" s="670"/>
      <c r="N208" s="670"/>
      <c r="O208" s="670"/>
      <c r="P208" s="670"/>
      <c r="Q208" s="670"/>
      <c r="R208" s="670"/>
      <c r="S208" s="670"/>
      <c r="T208" s="670"/>
      <c r="U208" s="670"/>
      <c r="V208" s="670"/>
      <c r="W208" s="670"/>
      <c r="X208" s="671">
        <v>2400</v>
      </c>
      <c r="Y208" s="671">
        <v>2220</v>
      </c>
      <c r="Z208" s="673"/>
      <c r="AA208" s="673"/>
      <c r="AB208" s="671"/>
      <c r="AC208" s="669"/>
      <c r="AD208" s="669"/>
      <c r="AE208" s="669"/>
      <c r="AF208" s="669"/>
      <c r="AG208" s="669"/>
      <c r="AH208" s="669"/>
      <c r="AI208" s="669"/>
      <c r="AJ208" s="672"/>
      <c r="AK208" s="673"/>
      <c r="AL208" s="673"/>
      <c r="AM208" s="665">
        <v>2400</v>
      </c>
      <c r="AN208" s="665">
        <v>2220</v>
      </c>
      <c r="AO208" s="665"/>
      <c r="AP208" s="665"/>
      <c r="AQ208" s="666"/>
      <c r="AR208" s="666"/>
      <c r="AS208" s="674">
        <v>2400</v>
      </c>
      <c r="AT208" s="674">
        <v>2220</v>
      </c>
      <c r="AU208" s="660"/>
      <c r="AV208" s="660"/>
      <c r="AW208" s="148"/>
      <c r="AX208" s="119"/>
    </row>
    <row r="209" spans="1:50" ht="31.5" x14ac:dyDescent="0.25">
      <c r="A209" s="448">
        <v>5</v>
      </c>
      <c r="B209" s="449" t="s">
        <v>1888</v>
      </c>
      <c r="C209" s="450" t="s">
        <v>1884</v>
      </c>
      <c r="D209" s="450"/>
      <c r="E209" s="450" t="s">
        <v>1063</v>
      </c>
      <c r="F209" s="450"/>
      <c r="G209" s="672">
        <v>3000</v>
      </c>
      <c r="H209" s="672">
        <v>2800</v>
      </c>
      <c r="I209" s="670"/>
      <c r="J209" s="670"/>
      <c r="K209" s="670"/>
      <c r="L209" s="670"/>
      <c r="M209" s="670"/>
      <c r="N209" s="670"/>
      <c r="O209" s="670"/>
      <c r="P209" s="670"/>
      <c r="Q209" s="670"/>
      <c r="R209" s="670"/>
      <c r="S209" s="670"/>
      <c r="T209" s="670"/>
      <c r="U209" s="670"/>
      <c r="V209" s="670"/>
      <c r="W209" s="670"/>
      <c r="X209" s="671">
        <v>3000</v>
      </c>
      <c r="Y209" s="671">
        <v>2800</v>
      </c>
      <c r="Z209" s="673"/>
      <c r="AA209" s="673"/>
      <c r="AB209" s="671"/>
      <c r="AC209" s="669"/>
      <c r="AD209" s="669"/>
      <c r="AE209" s="669"/>
      <c r="AF209" s="669"/>
      <c r="AG209" s="669"/>
      <c r="AH209" s="669"/>
      <c r="AI209" s="669"/>
      <c r="AJ209" s="672"/>
      <c r="AK209" s="673"/>
      <c r="AL209" s="673"/>
      <c r="AM209" s="665">
        <v>3000</v>
      </c>
      <c r="AN209" s="665">
        <v>2800</v>
      </c>
      <c r="AO209" s="665"/>
      <c r="AP209" s="665"/>
      <c r="AQ209" s="666"/>
      <c r="AR209" s="666"/>
      <c r="AS209" s="674">
        <v>3000</v>
      </c>
      <c r="AT209" s="674">
        <v>2800</v>
      </c>
      <c r="AU209" s="660"/>
      <c r="AV209" s="660"/>
      <c r="AW209" s="148"/>
      <c r="AX209" s="119"/>
    </row>
    <row r="210" spans="1:50" ht="47.25" x14ac:dyDescent="0.25">
      <c r="A210" s="448">
        <v>6</v>
      </c>
      <c r="B210" s="449" t="s">
        <v>1889</v>
      </c>
      <c r="C210" s="450" t="s">
        <v>1151</v>
      </c>
      <c r="D210" s="450"/>
      <c r="E210" s="450" t="s">
        <v>1063</v>
      </c>
      <c r="F210" s="450"/>
      <c r="G210" s="672">
        <v>2000</v>
      </c>
      <c r="H210" s="672">
        <v>1850</v>
      </c>
      <c r="I210" s="670"/>
      <c r="J210" s="670"/>
      <c r="K210" s="670"/>
      <c r="L210" s="670"/>
      <c r="M210" s="670"/>
      <c r="N210" s="670"/>
      <c r="O210" s="670"/>
      <c r="P210" s="670"/>
      <c r="Q210" s="670"/>
      <c r="R210" s="670"/>
      <c r="S210" s="670"/>
      <c r="T210" s="670"/>
      <c r="U210" s="670"/>
      <c r="V210" s="670"/>
      <c r="W210" s="670"/>
      <c r="X210" s="671">
        <v>2000</v>
      </c>
      <c r="Y210" s="671">
        <v>1850</v>
      </c>
      <c r="Z210" s="673"/>
      <c r="AA210" s="673"/>
      <c r="AB210" s="671"/>
      <c r="AC210" s="669"/>
      <c r="AD210" s="669"/>
      <c r="AE210" s="669"/>
      <c r="AF210" s="669"/>
      <c r="AG210" s="669"/>
      <c r="AH210" s="669"/>
      <c r="AI210" s="669"/>
      <c r="AJ210" s="672"/>
      <c r="AK210" s="673"/>
      <c r="AL210" s="673"/>
      <c r="AM210" s="665">
        <v>2000</v>
      </c>
      <c r="AN210" s="665">
        <v>1850</v>
      </c>
      <c r="AO210" s="665"/>
      <c r="AP210" s="665"/>
      <c r="AQ210" s="666"/>
      <c r="AR210" s="666"/>
      <c r="AS210" s="674">
        <v>2000</v>
      </c>
      <c r="AT210" s="674">
        <v>1850</v>
      </c>
      <c r="AU210" s="660"/>
      <c r="AV210" s="660"/>
      <c r="AW210" s="148"/>
      <c r="AX210" s="119"/>
    </row>
    <row r="211" spans="1:50" ht="31.5" x14ac:dyDescent="0.25">
      <c r="A211" s="448">
        <v>7</v>
      </c>
      <c r="B211" s="449" t="s">
        <v>1890</v>
      </c>
      <c r="C211" s="450" t="s">
        <v>1148</v>
      </c>
      <c r="D211" s="450"/>
      <c r="E211" s="450" t="s">
        <v>1063</v>
      </c>
      <c r="F211" s="450"/>
      <c r="G211" s="672">
        <v>3500</v>
      </c>
      <c r="H211" s="672">
        <v>3200</v>
      </c>
      <c r="I211" s="670"/>
      <c r="J211" s="670"/>
      <c r="K211" s="670"/>
      <c r="L211" s="670"/>
      <c r="M211" s="670"/>
      <c r="N211" s="670"/>
      <c r="O211" s="670"/>
      <c r="P211" s="670"/>
      <c r="Q211" s="670"/>
      <c r="R211" s="670"/>
      <c r="S211" s="670"/>
      <c r="T211" s="670"/>
      <c r="U211" s="670"/>
      <c r="V211" s="670"/>
      <c r="W211" s="670"/>
      <c r="X211" s="671">
        <v>3500</v>
      </c>
      <c r="Y211" s="671">
        <v>3200</v>
      </c>
      <c r="Z211" s="673"/>
      <c r="AA211" s="673"/>
      <c r="AB211" s="671"/>
      <c r="AC211" s="669"/>
      <c r="AD211" s="669"/>
      <c r="AE211" s="669"/>
      <c r="AF211" s="669"/>
      <c r="AG211" s="669"/>
      <c r="AH211" s="669"/>
      <c r="AI211" s="669"/>
      <c r="AJ211" s="672"/>
      <c r="AK211" s="673"/>
      <c r="AL211" s="673"/>
      <c r="AM211" s="665">
        <v>3500</v>
      </c>
      <c r="AN211" s="665">
        <v>3200</v>
      </c>
      <c r="AO211" s="665"/>
      <c r="AP211" s="665"/>
      <c r="AQ211" s="666"/>
      <c r="AR211" s="666"/>
      <c r="AS211" s="674">
        <v>3500</v>
      </c>
      <c r="AT211" s="674">
        <v>3200</v>
      </c>
      <c r="AU211" s="660"/>
      <c r="AV211" s="660"/>
      <c r="AW211" s="148"/>
      <c r="AX211" s="119"/>
    </row>
    <row r="212" spans="1:50" ht="47.25" x14ac:dyDescent="0.25">
      <c r="A212" s="448">
        <v>8</v>
      </c>
      <c r="B212" s="449" t="s">
        <v>1891</v>
      </c>
      <c r="C212" s="450" t="s">
        <v>1146</v>
      </c>
      <c r="D212" s="450"/>
      <c r="E212" s="450" t="s">
        <v>1063</v>
      </c>
      <c r="F212" s="450"/>
      <c r="G212" s="672">
        <v>2000</v>
      </c>
      <c r="H212" s="672">
        <v>1830</v>
      </c>
      <c r="I212" s="670"/>
      <c r="J212" s="670"/>
      <c r="K212" s="670"/>
      <c r="L212" s="670"/>
      <c r="M212" s="670"/>
      <c r="N212" s="670"/>
      <c r="O212" s="670"/>
      <c r="P212" s="670"/>
      <c r="Q212" s="670"/>
      <c r="R212" s="670"/>
      <c r="S212" s="670"/>
      <c r="T212" s="670"/>
      <c r="U212" s="670"/>
      <c r="V212" s="670"/>
      <c r="W212" s="670"/>
      <c r="X212" s="671">
        <v>2000</v>
      </c>
      <c r="Y212" s="671">
        <v>1830</v>
      </c>
      <c r="Z212" s="673"/>
      <c r="AA212" s="673"/>
      <c r="AB212" s="671"/>
      <c r="AC212" s="669"/>
      <c r="AD212" s="669"/>
      <c r="AE212" s="669"/>
      <c r="AF212" s="669"/>
      <c r="AG212" s="669"/>
      <c r="AH212" s="669"/>
      <c r="AI212" s="669"/>
      <c r="AJ212" s="672"/>
      <c r="AK212" s="673"/>
      <c r="AL212" s="673"/>
      <c r="AM212" s="665">
        <v>2000</v>
      </c>
      <c r="AN212" s="665">
        <v>1830</v>
      </c>
      <c r="AO212" s="665"/>
      <c r="AP212" s="665"/>
      <c r="AQ212" s="666"/>
      <c r="AR212" s="666"/>
      <c r="AS212" s="674">
        <v>2000</v>
      </c>
      <c r="AT212" s="674">
        <v>1830</v>
      </c>
      <c r="AU212" s="660"/>
      <c r="AV212" s="660"/>
      <c r="AW212" s="148"/>
      <c r="AX212" s="119"/>
    </row>
    <row r="213" spans="1:50" ht="31.5" x14ac:dyDescent="0.25">
      <c r="A213" s="448">
        <v>9</v>
      </c>
      <c r="B213" s="449" t="s">
        <v>1892</v>
      </c>
      <c r="C213" s="450" t="s">
        <v>1119</v>
      </c>
      <c r="D213" s="450"/>
      <c r="E213" s="450" t="s">
        <v>1084</v>
      </c>
      <c r="F213" s="450"/>
      <c r="G213" s="672">
        <v>2500</v>
      </c>
      <c r="H213" s="672">
        <v>2475</v>
      </c>
      <c r="I213" s="670"/>
      <c r="J213" s="670"/>
      <c r="K213" s="670"/>
      <c r="L213" s="670"/>
      <c r="M213" s="670"/>
      <c r="N213" s="670"/>
      <c r="O213" s="670"/>
      <c r="P213" s="670"/>
      <c r="Q213" s="670"/>
      <c r="R213" s="670"/>
      <c r="S213" s="670"/>
      <c r="T213" s="670"/>
      <c r="U213" s="670"/>
      <c r="V213" s="670"/>
      <c r="W213" s="670"/>
      <c r="X213" s="671">
        <v>2500</v>
      </c>
      <c r="Y213" s="671">
        <v>2475</v>
      </c>
      <c r="Z213" s="673"/>
      <c r="AA213" s="673"/>
      <c r="AB213" s="671"/>
      <c r="AC213" s="669"/>
      <c r="AD213" s="669"/>
      <c r="AE213" s="669"/>
      <c r="AF213" s="669"/>
      <c r="AG213" s="669"/>
      <c r="AH213" s="669"/>
      <c r="AI213" s="669"/>
      <c r="AJ213" s="672"/>
      <c r="AK213" s="673"/>
      <c r="AL213" s="673"/>
      <c r="AM213" s="665">
        <v>2500</v>
      </c>
      <c r="AN213" s="665">
        <v>2475</v>
      </c>
      <c r="AO213" s="665"/>
      <c r="AP213" s="665"/>
      <c r="AQ213" s="666"/>
      <c r="AR213" s="666"/>
      <c r="AS213" s="674">
        <v>2500</v>
      </c>
      <c r="AT213" s="674">
        <v>2475</v>
      </c>
      <c r="AU213" s="660"/>
      <c r="AV213" s="660"/>
      <c r="AW213" s="148"/>
      <c r="AX213" s="119"/>
    </row>
    <row r="214" spans="1:50" ht="47.25" x14ac:dyDescent="0.25">
      <c r="A214" s="448">
        <v>10</v>
      </c>
      <c r="B214" s="449" t="s">
        <v>1893</v>
      </c>
      <c r="C214" s="450" t="s">
        <v>1146</v>
      </c>
      <c r="D214" s="450"/>
      <c r="E214" s="450" t="s">
        <v>1084</v>
      </c>
      <c r="F214" s="450"/>
      <c r="G214" s="505">
        <v>3000</v>
      </c>
      <c r="H214" s="672">
        <v>2970</v>
      </c>
      <c r="I214" s="670"/>
      <c r="J214" s="670"/>
      <c r="K214" s="670"/>
      <c r="L214" s="670"/>
      <c r="M214" s="670"/>
      <c r="N214" s="670"/>
      <c r="O214" s="670"/>
      <c r="P214" s="670"/>
      <c r="Q214" s="670"/>
      <c r="R214" s="670"/>
      <c r="S214" s="670"/>
      <c r="T214" s="670"/>
      <c r="U214" s="670"/>
      <c r="V214" s="670"/>
      <c r="W214" s="670"/>
      <c r="X214" s="671">
        <v>3000</v>
      </c>
      <c r="Y214" s="671">
        <v>2970</v>
      </c>
      <c r="Z214" s="673"/>
      <c r="AA214" s="673"/>
      <c r="AB214" s="671"/>
      <c r="AC214" s="669"/>
      <c r="AD214" s="669"/>
      <c r="AE214" s="669"/>
      <c r="AF214" s="669"/>
      <c r="AG214" s="669"/>
      <c r="AH214" s="669"/>
      <c r="AI214" s="669"/>
      <c r="AJ214" s="672"/>
      <c r="AK214" s="673"/>
      <c r="AL214" s="673"/>
      <c r="AM214" s="665">
        <v>3000</v>
      </c>
      <c r="AN214" s="665">
        <v>2970</v>
      </c>
      <c r="AO214" s="665"/>
      <c r="AP214" s="665"/>
      <c r="AQ214" s="666"/>
      <c r="AR214" s="666"/>
      <c r="AS214" s="674">
        <v>3000</v>
      </c>
      <c r="AT214" s="674">
        <v>2970</v>
      </c>
      <c r="AU214" s="660"/>
      <c r="AV214" s="660"/>
      <c r="AW214" s="148"/>
      <c r="AX214" s="119"/>
    </row>
    <row r="215" spans="1:50" ht="31.5" x14ac:dyDescent="0.25">
      <c r="A215" s="448">
        <v>11</v>
      </c>
      <c r="B215" s="449" t="s">
        <v>1894</v>
      </c>
      <c r="C215" s="450" t="s">
        <v>1114</v>
      </c>
      <c r="D215" s="450"/>
      <c r="E215" s="450">
        <v>2018</v>
      </c>
      <c r="F215" s="450"/>
      <c r="G215" s="672">
        <v>1500</v>
      </c>
      <c r="H215" s="672">
        <v>1485</v>
      </c>
      <c r="I215" s="670"/>
      <c r="J215" s="670"/>
      <c r="K215" s="670"/>
      <c r="L215" s="670"/>
      <c r="M215" s="670"/>
      <c r="N215" s="670"/>
      <c r="O215" s="670"/>
      <c r="P215" s="670"/>
      <c r="Q215" s="670"/>
      <c r="R215" s="670"/>
      <c r="S215" s="670"/>
      <c r="T215" s="670"/>
      <c r="U215" s="670"/>
      <c r="V215" s="670"/>
      <c r="W215" s="670"/>
      <c r="X215" s="671">
        <v>1500</v>
      </c>
      <c r="Y215" s="671">
        <v>1485</v>
      </c>
      <c r="Z215" s="673"/>
      <c r="AA215" s="673"/>
      <c r="AB215" s="671"/>
      <c r="AC215" s="669"/>
      <c r="AD215" s="669"/>
      <c r="AE215" s="669"/>
      <c r="AF215" s="669"/>
      <c r="AG215" s="669"/>
      <c r="AH215" s="669"/>
      <c r="AI215" s="669"/>
      <c r="AJ215" s="672"/>
      <c r="AK215" s="673"/>
      <c r="AL215" s="673"/>
      <c r="AM215" s="665">
        <v>1500</v>
      </c>
      <c r="AN215" s="665">
        <v>1485</v>
      </c>
      <c r="AO215" s="665"/>
      <c r="AP215" s="665"/>
      <c r="AQ215" s="666"/>
      <c r="AR215" s="666"/>
      <c r="AS215" s="674">
        <v>1500</v>
      </c>
      <c r="AT215" s="674">
        <v>1485</v>
      </c>
      <c r="AU215" s="660"/>
      <c r="AV215" s="660"/>
      <c r="AW215" s="148"/>
      <c r="AX215" s="119"/>
    </row>
    <row r="216" spans="1:50" ht="31.5" x14ac:dyDescent="0.25">
      <c r="A216" s="448">
        <v>12</v>
      </c>
      <c r="B216" s="449" t="s">
        <v>1895</v>
      </c>
      <c r="C216" s="450" t="s">
        <v>1101</v>
      </c>
      <c r="D216" s="450"/>
      <c r="E216" s="450">
        <v>2018</v>
      </c>
      <c r="F216" s="450"/>
      <c r="G216" s="672">
        <v>2000</v>
      </c>
      <c r="H216" s="672">
        <v>1980</v>
      </c>
      <c r="I216" s="670"/>
      <c r="J216" s="670"/>
      <c r="K216" s="670"/>
      <c r="L216" s="670"/>
      <c r="M216" s="670"/>
      <c r="N216" s="670"/>
      <c r="O216" s="670"/>
      <c r="P216" s="670"/>
      <c r="Q216" s="670"/>
      <c r="R216" s="670"/>
      <c r="S216" s="670"/>
      <c r="T216" s="670"/>
      <c r="U216" s="670"/>
      <c r="V216" s="670"/>
      <c r="W216" s="670"/>
      <c r="X216" s="671">
        <v>2000</v>
      </c>
      <c r="Y216" s="671">
        <v>1980</v>
      </c>
      <c r="Z216" s="673"/>
      <c r="AA216" s="673"/>
      <c r="AB216" s="671"/>
      <c r="AC216" s="669"/>
      <c r="AD216" s="669"/>
      <c r="AE216" s="669"/>
      <c r="AF216" s="669"/>
      <c r="AG216" s="669"/>
      <c r="AH216" s="669"/>
      <c r="AI216" s="669"/>
      <c r="AJ216" s="672"/>
      <c r="AK216" s="673"/>
      <c r="AL216" s="673"/>
      <c r="AM216" s="665">
        <v>2000</v>
      </c>
      <c r="AN216" s="665">
        <v>1980</v>
      </c>
      <c r="AO216" s="665"/>
      <c r="AP216" s="665"/>
      <c r="AQ216" s="666"/>
      <c r="AR216" s="666"/>
      <c r="AS216" s="674">
        <v>2000</v>
      </c>
      <c r="AT216" s="674">
        <v>1980</v>
      </c>
      <c r="AU216" s="660"/>
      <c r="AV216" s="660"/>
      <c r="AW216" s="742"/>
      <c r="AX216" s="119"/>
    </row>
    <row r="217" spans="1:50" ht="31.5" x14ac:dyDescent="0.25">
      <c r="A217" s="448">
        <v>13</v>
      </c>
      <c r="B217" s="449" t="s">
        <v>1896</v>
      </c>
      <c r="C217" s="450" t="s">
        <v>1897</v>
      </c>
      <c r="D217" s="450"/>
      <c r="E217" s="450">
        <v>2018</v>
      </c>
      <c r="F217" s="450"/>
      <c r="G217" s="672">
        <v>1000</v>
      </c>
      <c r="H217" s="672">
        <v>990</v>
      </c>
      <c r="I217" s="670"/>
      <c r="J217" s="670"/>
      <c r="K217" s="670"/>
      <c r="L217" s="670"/>
      <c r="M217" s="670"/>
      <c r="N217" s="670"/>
      <c r="O217" s="670"/>
      <c r="P217" s="670"/>
      <c r="Q217" s="670"/>
      <c r="R217" s="670"/>
      <c r="S217" s="670"/>
      <c r="T217" s="670"/>
      <c r="U217" s="670"/>
      <c r="V217" s="670"/>
      <c r="W217" s="670"/>
      <c r="X217" s="671">
        <v>1000</v>
      </c>
      <c r="Y217" s="671">
        <v>990</v>
      </c>
      <c r="Z217" s="673"/>
      <c r="AA217" s="673"/>
      <c r="AB217" s="671"/>
      <c r="AC217" s="669"/>
      <c r="AD217" s="669"/>
      <c r="AE217" s="669"/>
      <c r="AF217" s="669"/>
      <c r="AG217" s="669"/>
      <c r="AH217" s="669"/>
      <c r="AI217" s="669"/>
      <c r="AJ217" s="672"/>
      <c r="AK217" s="673"/>
      <c r="AL217" s="673"/>
      <c r="AM217" s="665">
        <v>1000</v>
      </c>
      <c r="AN217" s="665">
        <v>990</v>
      </c>
      <c r="AO217" s="665"/>
      <c r="AP217" s="665"/>
      <c r="AQ217" s="666"/>
      <c r="AR217" s="666"/>
      <c r="AS217" s="674">
        <v>1000</v>
      </c>
      <c r="AT217" s="674">
        <v>990</v>
      </c>
      <c r="AU217" s="660"/>
      <c r="AV217" s="660"/>
      <c r="AW217" s="742"/>
      <c r="AX217" s="119"/>
    </row>
    <row r="218" spans="1:50" ht="31.5" x14ac:dyDescent="0.25">
      <c r="A218" s="448">
        <v>14</v>
      </c>
      <c r="B218" s="449" t="s">
        <v>1898</v>
      </c>
      <c r="C218" s="450" t="s">
        <v>1130</v>
      </c>
      <c r="D218" s="450"/>
      <c r="E218" s="450">
        <v>2018</v>
      </c>
      <c r="F218" s="450"/>
      <c r="G218" s="672">
        <v>2000</v>
      </c>
      <c r="H218" s="672">
        <v>1980</v>
      </c>
      <c r="I218" s="670"/>
      <c r="J218" s="670"/>
      <c r="K218" s="670"/>
      <c r="L218" s="670"/>
      <c r="M218" s="670"/>
      <c r="N218" s="670"/>
      <c r="O218" s="670"/>
      <c r="P218" s="670"/>
      <c r="Q218" s="670"/>
      <c r="R218" s="670"/>
      <c r="S218" s="670"/>
      <c r="T218" s="670"/>
      <c r="U218" s="670"/>
      <c r="V218" s="670"/>
      <c r="W218" s="670"/>
      <c r="X218" s="671">
        <v>2000</v>
      </c>
      <c r="Y218" s="671">
        <v>1980</v>
      </c>
      <c r="Z218" s="673"/>
      <c r="AA218" s="673"/>
      <c r="AB218" s="671"/>
      <c r="AC218" s="669"/>
      <c r="AD218" s="669"/>
      <c r="AE218" s="669"/>
      <c r="AF218" s="669"/>
      <c r="AG218" s="669"/>
      <c r="AH218" s="669"/>
      <c r="AI218" s="669"/>
      <c r="AJ218" s="672"/>
      <c r="AK218" s="673"/>
      <c r="AL218" s="673"/>
      <c r="AM218" s="665">
        <v>2000</v>
      </c>
      <c r="AN218" s="665">
        <v>1980</v>
      </c>
      <c r="AO218" s="665"/>
      <c r="AP218" s="665"/>
      <c r="AQ218" s="666"/>
      <c r="AR218" s="666"/>
      <c r="AS218" s="674">
        <v>2000</v>
      </c>
      <c r="AT218" s="674">
        <v>1980</v>
      </c>
      <c r="AU218" s="660"/>
      <c r="AV218" s="660"/>
      <c r="AW218" s="148"/>
      <c r="AX218" s="119"/>
    </row>
    <row r="219" spans="1:50" ht="47.25" x14ac:dyDescent="0.25">
      <c r="A219" s="448">
        <v>15</v>
      </c>
      <c r="B219" s="449" t="s">
        <v>1899</v>
      </c>
      <c r="C219" s="450" t="s">
        <v>1116</v>
      </c>
      <c r="D219" s="450"/>
      <c r="E219" s="450">
        <v>2018</v>
      </c>
      <c r="F219" s="450"/>
      <c r="G219" s="672">
        <v>5000</v>
      </c>
      <c r="H219" s="672">
        <v>3500</v>
      </c>
      <c r="I219" s="670"/>
      <c r="J219" s="670"/>
      <c r="K219" s="670"/>
      <c r="L219" s="670"/>
      <c r="M219" s="670"/>
      <c r="N219" s="670"/>
      <c r="O219" s="670"/>
      <c r="P219" s="670"/>
      <c r="Q219" s="670"/>
      <c r="R219" s="670"/>
      <c r="S219" s="670"/>
      <c r="T219" s="670"/>
      <c r="U219" s="670"/>
      <c r="V219" s="670"/>
      <c r="W219" s="670"/>
      <c r="X219" s="671">
        <v>5000</v>
      </c>
      <c r="Y219" s="671">
        <v>3500</v>
      </c>
      <c r="Z219" s="673"/>
      <c r="AA219" s="673"/>
      <c r="AB219" s="671"/>
      <c r="AC219" s="669"/>
      <c r="AD219" s="669"/>
      <c r="AE219" s="669"/>
      <c r="AF219" s="669"/>
      <c r="AG219" s="669"/>
      <c r="AH219" s="669"/>
      <c r="AI219" s="669"/>
      <c r="AJ219" s="672"/>
      <c r="AK219" s="673"/>
      <c r="AL219" s="673"/>
      <c r="AM219" s="665">
        <v>5000</v>
      </c>
      <c r="AN219" s="665">
        <v>3500</v>
      </c>
      <c r="AO219" s="665"/>
      <c r="AP219" s="665"/>
      <c r="AQ219" s="666"/>
      <c r="AR219" s="666"/>
      <c r="AS219" s="674">
        <v>5000</v>
      </c>
      <c r="AT219" s="674">
        <v>3500</v>
      </c>
      <c r="AU219" s="660"/>
      <c r="AV219" s="660"/>
      <c r="AW219" s="148"/>
      <c r="AX219" s="119"/>
    </row>
    <row r="220" spans="1:50" ht="47.25" x14ac:dyDescent="0.25">
      <c r="A220" s="448">
        <v>16</v>
      </c>
      <c r="B220" s="449" t="s">
        <v>1900</v>
      </c>
      <c r="C220" s="450" t="s">
        <v>1072</v>
      </c>
      <c r="D220" s="450"/>
      <c r="E220" s="450">
        <v>2018</v>
      </c>
      <c r="F220" s="450"/>
      <c r="G220" s="672">
        <v>1050</v>
      </c>
      <c r="H220" s="672">
        <v>1040</v>
      </c>
      <c r="I220" s="670"/>
      <c r="J220" s="670"/>
      <c r="K220" s="670"/>
      <c r="L220" s="670"/>
      <c r="M220" s="670"/>
      <c r="N220" s="670"/>
      <c r="O220" s="670"/>
      <c r="P220" s="670"/>
      <c r="Q220" s="670"/>
      <c r="R220" s="670"/>
      <c r="S220" s="670"/>
      <c r="T220" s="670"/>
      <c r="U220" s="670"/>
      <c r="V220" s="670"/>
      <c r="W220" s="670"/>
      <c r="X220" s="671">
        <v>1050</v>
      </c>
      <c r="Y220" s="671">
        <v>1040</v>
      </c>
      <c r="Z220" s="673"/>
      <c r="AA220" s="673"/>
      <c r="AB220" s="671"/>
      <c r="AC220" s="669"/>
      <c r="AD220" s="669"/>
      <c r="AE220" s="669"/>
      <c r="AF220" s="669"/>
      <c r="AG220" s="669"/>
      <c r="AH220" s="669"/>
      <c r="AI220" s="669"/>
      <c r="AJ220" s="672"/>
      <c r="AK220" s="673"/>
      <c r="AL220" s="673"/>
      <c r="AM220" s="665">
        <v>1050</v>
      </c>
      <c r="AN220" s="665">
        <v>1040</v>
      </c>
      <c r="AO220" s="665"/>
      <c r="AP220" s="665"/>
      <c r="AQ220" s="666"/>
      <c r="AR220" s="666"/>
      <c r="AS220" s="674">
        <v>1050</v>
      </c>
      <c r="AT220" s="674">
        <v>1040</v>
      </c>
      <c r="AU220" s="660"/>
      <c r="AV220" s="660"/>
      <c r="AW220" s="148"/>
      <c r="AX220" s="119"/>
    </row>
    <row r="221" spans="1:50" ht="31.5" x14ac:dyDescent="0.25">
      <c r="A221" s="448">
        <v>17</v>
      </c>
      <c r="B221" s="449" t="s">
        <v>1901</v>
      </c>
      <c r="C221" s="450" t="s">
        <v>1121</v>
      </c>
      <c r="D221" s="450"/>
      <c r="E221" s="450">
        <v>2018</v>
      </c>
      <c r="F221" s="450"/>
      <c r="G221" s="672">
        <v>800</v>
      </c>
      <c r="H221" s="672">
        <v>792</v>
      </c>
      <c r="I221" s="670"/>
      <c r="J221" s="670"/>
      <c r="K221" s="670"/>
      <c r="L221" s="670"/>
      <c r="M221" s="670"/>
      <c r="N221" s="670"/>
      <c r="O221" s="670"/>
      <c r="P221" s="670"/>
      <c r="Q221" s="670"/>
      <c r="R221" s="670"/>
      <c r="S221" s="670"/>
      <c r="T221" s="670"/>
      <c r="U221" s="670"/>
      <c r="V221" s="670"/>
      <c r="W221" s="670"/>
      <c r="X221" s="671">
        <v>800</v>
      </c>
      <c r="Y221" s="671">
        <v>792</v>
      </c>
      <c r="Z221" s="673"/>
      <c r="AA221" s="673"/>
      <c r="AB221" s="671"/>
      <c r="AC221" s="669"/>
      <c r="AD221" s="669"/>
      <c r="AE221" s="669"/>
      <c r="AF221" s="669"/>
      <c r="AG221" s="669"/>
      <c r="AH221" s="669"/>
      <c r="AI221" s="669"/>
      <c r="AJ221" s="672"/>
      <c r="AK221" s="673"/>
      <c r="AL221" s="673"/>
      <c r="AM221" s="665">
        <v>800</v>
      </c>
      <c r="AN221" s="665">
        <v>792</v>
      </c>
      <c r="AO221" s="665"/>
      <c r="AP221" s="665"/>
      <c r="AQ221" s="666"/>
      <c r="AR221" s="666"/>
      <c r="AS221" s="674">
        <v>800</v>
      </c>
      <c r="AT221" s="674">
        <v>792</v>
      </c>
      <c r="AU221" s="660"/>
      <c r="AV221" s="660"/>
      <c r="AW221" s="148"/>
      <c r="AX221" s="119"/>
    </row>
    <row r="222" spans="1:50" ht="31.5" x14ac:dyDescent="0.25">
      <c r="A222" s="448">
        <v>18</v>
      </c>
      <c r="B222" s="449" t="s">
        <v>1902</v>
      </c>
      <c r="C222" s="450" t="s">
        <v>1075</v>
      </c>
      <c r="D222" s="450"/>
      <c r="E222" s="450">
        <v>2018</v>
      </c>
      <c r="F222" s="450"/>
      <c r="G222" s="672">
        <v>1050</v>
      </c>
      <c r="H222" s="672">
        <v>1040</v>
      </c>
      <c r="I222" s="670"/>
      <c r="J222" s="670"/>
      <c r="K222" s="670"/>
      <c r="L222" s="670"/>
      <c r="M222" s="670"/>
      <c r="N222" s="670"/>
      <c r="O222" s="670"/>
      <c r="P222" s="670"/>
      <c r="Q222" s="670"/>
      <c r="R222" s="670"/>
      <c r="S222" s="670"/>
      <c r="T222" s="670"/>
      <c r="U222" s="670"/>
      <c r="V222" s="670"/>
      <c r="W222" s="670"/>
      <c r="X222" s="671">
        <v>1050</v>
      </c>
      <c r="Y222" s="671">
        <v>1040</v>
      </c>
      <c r="Z222" s="673"/>
      <c r="AA222" s="673"/>
      <c r="AB222" s="671"/>
      <c r="AC222" s="669"/>
      <c r="AD222" s="669"/>
      <c r="AE222" s="669"/>
      <c r="AF222" s="669"/>
      <c r="AG222" s="669"/>
      <c r="AH222" s="669"/>
      <c r="AI222" s="669"/>
      <c r="AJ222" s="672"/>
      <c r="AK222" s="673"/>
      <c r="AL222" s="673"/>
      <c r="AM222" s="665">
        <v>1050</v>
      </c>
      <c r="AN222" s="665">
        <v>1040</v>
      </c>
      <c r="AO222" s="665"/>
      <c r="AP222" s="665"/>
      <c r="AQ222" s="666"/>
      <c r="AR222" s="666"/>
      <c r="AS222" s="674">
        <v>1050</v>
      </c>
      <c r="AT222" s="674">
        <v>1040</v>
      </c>
      <c r="AU222" s="660"/>
      <c r="AV222" s="660"/>
      <c r="AW222" s="148"/>
      <c r="AX222" s="119"/>
    </row>
    <row r="223" spans="1:50" ht="47.25" x14ac:dyDescent="0.25">
      <c r="A223" s="448">
        <v>19</v>
      </c>
      <c r="B223" s="449" t="s">
        <v>1903</v>
      </c>
      <c r="C223" s="450" t="s">
        <v>1151</v>
      </c>
      <c r="D223" s="450"/>
      <c r="E223" s="450">
        <v>2019</v>
      </c>
      <c r="F223" s="450"/>
      <c r="G223" s="672">
        <v>1500</v>
      </c>
      <c r="H223" s="672">
        <v>1485</v>
      </c>
      <c r="I223" s="670"/>
      <c r="J223" s="670"/>
      <c r="K223" s="670"/>
      <c r="L223" s="670"/>
      <c r="M223" s="670"/>
      <c r="N223" s="670"/>
      <c r="O223" s="670"/>
      <c r="P223" s="670"/>
      <c r="Q223" s="670"/>
      <c r="R223" s="670"/>
      <c r="S223" s="670"/>
      <c r="T223" s="670"/>
      <c r="U223" s="670"/>
      <c r="V223" s="670"/>
      <c r="W223" s="670"/>
      <c r="X223" s="671">
        <v>1500</v>
      </c>
      <c r="Y223" s="671">
        <v>1485</v>
      </c>
      <c r="Z223" s="673"/>
      <c r="AA223" s="673"/>
      <c r="AB223" s="671"/>
      <c r="AC223" s="669"/>
      <c r="AD223" s="669"/>
      <c r="AE223" s="669"/>
      <c r="AF223" s="669"/>
      <c r="AG223" s="669"/>
      <c r="AH223" s="669"/>
      <c r="AI223" s="669"/>
      <c r="AJ223" s="672"/>
      <c r="AK223" s="673"/>
      <c r="AL223" s="673"/>
      <c r="AM223" s="665">
        <v>1500</v>
      </c>
      <c r="AN223" s="665">
        <v>1485</v>
      </c>
      <c r="AO223" s="665"/>
      <c r="AP223" s="665"/>
      <c r="AQ223" s="666"/>
      <c r="AR223" s="666"/>
      <c r="AS223" s="674">
        <v>1500</v>
      </c>
      <c r="AT223" s="674">
        <v>1485</v>
      </c>
      <c r="AU223" s="660"/>
      <c r="AV223" s="660"/>
      <c r="AW223" s="148"/>
      <c r="AX223" s="119"/>
    </row>
    <row r="224" spans="1:50" ht="47.25" x14ac:dyDescent="0.25">
      <c r="A224" s="448">
        <v>20</v>
      </c>
      <c r="B224" s="449" t="s">
        <v>1904</v>
      </c>
      <c r="C224" s="450" t="s">
        <v>1146</v>
      </c>
      <c r="D224" s="450"/>
      <c r="E224" s="450">
        <v>2019</v>
      </c>
      <c r="F224" s="450"/>
      <c r="G224" s="672">
        <v>750</v>
      </c>
      <c r="H224" s="672">
        <v>743</v>
      </c>
      <c r="I224" s="670"/>
      <c r="J224" s="670"/>
      <c r="K224" s="670"/>
      <c r="L224" s="670"/>
      <c r="M224" s="670"/>
      <c r="N224" s="670"/>
      <c r="O224" s="670"/>
      <c r="P224" s="670"/>
      <c r="Q224" s="670"/>
      <c r="R224" s="670"/>
      <c r="S224" s="670"/>
      <c r="T224" s="670"/>
      <c r="U224" s="670"/>
      <c r="V224" s="670"/>
      <c r="W224" s="670"/>
      <c r="X224" s="671">
        <v>750</v>
      </c>
      <c r="Y224" s="671">
        <v>743</v>
      </c>
      <c r="Z224" s="673"/>
      <c r="AA224" s="673"/>
      <c r="AB224" s="671"/>
      <c r="AC224" s="669"/>
      <c r="AD224" s="669"/>
      <c r="AE224" s="669"/>
      <c r="AF224" s="669"/>
      <c r="AG224" s="669"/>
      <c r="AH224" s="669"/>
      <c r="AI224" s="669"/>
      <c r="AJ224" s="672"/>
      <c r="AK224" s="673"/>
      <c r="AL224" s="673"/>
      <c r="AM224" s="665">
        <v>750</v>
      </c>
      <c r="AN224" s="665">
        <v>743</v>
      </c>
      <c r="AO224" s="665"/>
      <c r="AP224" s="665"/>
      <c r="AQ224" s="666"/>
      <c r="AR224" s="666"/>
      <c r="AS224" s="674">
        <v>750</v>
      </c>
      <c r="AT224" s="674">
        <v>743</v>
      </c>
      <c r="AU224" s="660"/>
      <c r="AV224" s="660"/>
      <c r="AW224" s="742"/>
      <c r="AX224" s="119"/>
    </row>
    <row r="225" spans="1:50" ht="47.25" x14ac:dyDescent="0.25">
      <c r="A225" s="448"/>
      <c r="B225" s="449" t="s">
        <v>1905</v>
      </c>
      <c r="C225" s="450" t="s">
        <v>1114</v>
      </c>
      <c r="D225" s="450"/>
      <c r="E225" s="450">
        <v>2019</v>
      </c>
      <c r="F225" s="450"/>
      <c r="G225" s="505">
        <v>1500</v>
      </c>
      <c r="H225" s="505">
        <v>1485</v>
      </c>
      <c r="I225" s="670"/>
      <c r="J225" s="670"/>
      <c r="K225" s="670"/>
      <c r="L225" s="670"/>
      <c r="M225" s="670"/>
      <c r="N225" s="670"/>
      <c r="O225" s="670"/>
      <c r="P225" s="670"/>
      <c r="Q225" s="670"/>
      <c r="R225" s="670"/>
      <c r="S225" s="670"/>
      <c r="T225" s="670"/>
      <c r="U225" s="670"/>
      <c r="V225" s="670"/>
      <c r="W225" s="670"/>
      <c r="X225" s="671">
        <v>1500</v>
      </c>
      <c r="Y225" s="671">
        <v>1485</v>
      </c>
      <c r="Z225" s="673"/>
      <c r="AA225" s="673"/>
      <c r="AB225" s="671"/>
      <c r="AC225" s="669"/>
      <c r="AD225" s="669"/>
      <c r="AE225" s="669"/>
      <c r="AF225" s="669"/>
      <c r="AG225" s="669"/>
      <c r="AH225" s="669"/>
      <c r="AI225" s="669"/>
      <c r="AJ225" s="672"/>
      <c r="AK225" s="673"/>
      <c r="AL225" s="673">
        <v>1485</v>
      </c>
      <c r="AM225" s="665"/>
      <c r="AN225" s="665"/>
      <c r="AO225" s="665"/>
      <c r="AP225" s="665"/>
      <c r="AQ225" s="666"/>
      <c r="AR225" s="666"/>
      <c r="AS225" s="674"/>
      <c r="AT225" s="674"/>
      <c r="AU225" s="660"/>
      <c r="AV225" s="660"/>
      <c r="AW225" s="743"/>
      <c r="AX225" s="119"/>
    </row>
    <row r="226" spans="1:50" ht="47.25" x14ac:dyDescent="0.25">
      <c r="A226" s="448" t="s">
        <v>804</v>
      </c>
      <c r="B226" s="449" t="s">
        <v>1906</v>
      </c>
      <c r="C226" s="450" t="s">
        <v>1155</v>
      </c>
      <c r="D226" s="450"/>
      <c r="E226" s="450">
        <v>2019</v>
      </c>
      <c r="F226" s="450"/>
      <c r="G226" s="672">
        <v>2000</v>
      </c>
      <c r="H226" s="672">
        <v>1980</v>
      </c>
      <c r="I226" s="670"/>
      <c r="J226" s="670"/>
      <c r="K226" s="670"/>
      <c r="L226" s="670"/>
      <c r="M226" s="670"/>
      <c r="N226" s="670"/>
      <c r="O226" s="670"/>
      <c r="P226" s="670"/>
      <c r="Q226" s="670"/>
      <c r="R226" s="670"/>
      <c r="S226" s="670"/>
      <c r="T226" s="670"/>
      <c r="U226" s="670"/>
      <c r="V226" s="670"/>
      <c r="W226" s="670"/>
      <c r="X226" s="671">
        <v>2000</v>
      </c>
      <c r="Y226" s="671">
        <v>1980</v>
      </c>
      <c r="Z226" s="673"/>
      <c r="AA226" s="673"/>
      <c r="AB226" s="671"/>
      <c r="AC226" s="669"/>
      <c r="AD226" s="669"/>
      <c r="AE226" s="669"/>
      <c r="AF226" s="669"/>
      <c r="AG226" s="669"/>
      <c r="AH226" s="669"/>
      <c r="AI226" s="669"/>
      <c r="AJ226" s="672"/>
      <c r="AK226" s="673"/>
      <c r="AL226" s="673"/>
      <c r="AM226" s="665">
        <v>2000</v>
      </c>
      <c r="AN226" s="665">
        <v>1980</v>
      </c>
      <c r="AO226" s="665"/>
      <c r="AP226" s="665"/>
      <c r="AQ226" s="666"/>
      <c r="AR226" s="666"/>
      <c r="AS226" s="674">
        <v>2000</v>
      </c>
      <c r="AT226" s="674">
        <v>1980</v>
      </c>
      <c r="AU226" s="660"/>
      <c r="AV226" s="660"/>
      <c r="AW226" s="743"/>
      <c r="AX226" s="119"/>
    </row>
    <row r="227" spans="1:50" ht="31.5" x14ac:dyDescent="0.25">
      <c r="A227" s="448" t="s">
        <v>806</v>
      </c>
      <c r="B227" s="449" t="s">
        <v>1907</v>
      </c>
      <c r="C227" s="450" t="s">
        <v>1121</v>
      </c>
      <c r="D227" s="450"/>
      <c r="E227" s="450">
        <v>2019</v>
      </c>
      <c r="F227" s="450"/>
      <c r="G227" s="672">
        <v>1100</v>
      </c>
      <c r="H227" s="672">
        <v>1089</v>
      </c>
      <c r="I227" s="670"/>
      <c r="J227" s="670"/>
      <c r="K227" s="670"/>
      <c r="L227" s="670"/>
      <c r="M227" s="670"/>
      <c r="N227" s="670"/>
      <c r="O227" s="670"/>
      <c r="P227" s="670"/>
      <c r="Q227" s="670"/>
      <c r="R227" s="670"/>
      <c r="S227" s="670"/>
      <c r="T227" s="670"/>
      <c r="U227" s="670"/>
      <c r="V227" s="670"/>
      <c r="W227" s="670"/>
      <c r="X227" s="671">
        <v>1100</v>
      </c>
      <c r="Y227" s="671">
        <v>1089</v>
      </c>
      <c r="Z227" s="673"/>
      <c r="AA227" s="673"/>
      <c r="AB227" s="671"/>
      <c r="AC227" s="669"/>
      <c r="AD227" s="669"/>
      <c r="AE227" s="669"/>
      <c r="AF227" s="669"/>
      <c r="AG227" s="669"/>
      <c r="AH227" s="669"/>
      <c r="AI227" s="669"/>
      <c r="AJ227" s="672"/>
      <c r="AK227" s="673"/>
      <c r="AL227" s="673"/>
      <c r="AM227" s="665">
        <v>1100</v>
      </c>
      <c r="AN227" s="665">
        <v>1089</v>
      </c>
      <c r="AO227" s="665"/>
      <c r="AP227" s="665"/>
      <c r="AQ227" s="666"/>
      <c r="AR227" s="666"/>
      <c r="AS227" s="674">
        <v>1100</v>
      </c>
      <c r="AT227" s="674">
        <v>1089</v>
      </c>
      <c r="AU227" s="660"/>
      <c r="AV227" s="660"/>
      <c r="AW227" s="148"/>
      <c r="AX227" s="119"/>
    </row>
    <row r="228" spans="1:50" ht="31.5" x14ac:dyDescent="0.25">
      <c r="A228" s="448" t="s">
        <v>808</v>
      </c>
      <c r="B228" s="449" t="s">
        <v>1908</v>
      </c>
      <c r="C228" s="450" t="s">
        <v>1130</v>
      </c>
      <c r="D228" s="450"/>
      <c r="E228" s="450">
        <v>2019</v>
      </c>
      <c r="F228" s="450"/>
      <c r="G228" s="672">
        <v>3000</v>
      </c>
      <c r="H228" s="672">
        <v>2970</v>
      </c>
      <c r="I228" s="670"/>
      <c r="J228" s="670"/>
      <c r="K228" s="670"/>
      <c r="L228" s="670"/>
      <c r="M228" s="670"/>
      <c r="N228" s="670"/>
      <c r="O228" s="670"/>
      <c r="P228" s="670"/>
      <c r="Q228" s="670"/>
      <c r="R228" s="670"/>
      <c r="S228" s="670"/>
      <c r="T228" s="670"/>
      <c r="U228" s="670"/>
      <c r="V228" s="670"/>
      <c r="W228" s="670"/>
      <c r="X228" s="671">
        <v>3000</v>
      </c>
      <c r="Y228" s="671">
        <v>2970</v>
      </c>
      <c r="Z228" s="673"/>
      <c r="AA228" s="673"/>
      <c r="AB228" s="671"/>
      <c r="AC228" s="669"/>
      <c r="AD228" s="669"/>
      <c r="AE228" s="669"/>
      <c r="AF228" s="669"/>
      <c r="AG228" s="669"/>
      <c r="AH228" s="669"/>
      <c r="AI228" s="669"/>
      <c r="AJ228" s="672"/>
      <c r="AK228" s="673"/>
      <c r="AL228" s="673">
        <v>2970</v>
      </c>
      <c r="AM228" s="665"/>
      <c r="AN228" s="665"/>
      <c r="AO228" s="665"/>
      <c r="AP228" s="665"/>
      <c r="AQ228" s="666"/>
      <c r="AR228" s="666"/>
      <c r="AS228" s="674"/>
      <c r="AT228" s="674"/>
      <c r="AU228" s="660"/>
      <c r="AV228" s="660"/>
      <c r="AW228" s="148"/>
      <c r="AX228" s="119"/>
    </row>
    <row r="229" spans="1:50" ht="47.25" x14ac:dyDescent="0.25">
      <c r="A229" s="448" t="s">
        <v>811</v>
      </c>
      <c r="B229" s="449" t="s">
        <v>1909</v>
      </c>
      <c r="C229" s="450" t="s">
        <v>1126</v>
      </c>
      <c r="D229" s="450"/>
      <c r="E229" s="450">
        <v>2019</v>
      </c>
      <c r="F229" s="450"/>
      <c r="G229" s="672">
        <v>2500</v>
      </c>
      <c r="H229" s="672">
        <v>2475</v>
      </c>
      <c r="I229" s="670"/>
      <c r="J229" s="670"/>
      <c r="K229" s="670"/>
      <c r="L229" s="670"/>
      <c r="M229" s="670"/>
      <c r="N229" s="670"/>
      <c r="O229" s="670"/>
      <c r="P229" s="670"/>
      <c r="Q229" s="670"/>
      <c r="R229" s="670"/>
      <c r="S229" s="670"/>
      <c r="T229" s="670"/>
      <c r="U229" s="670"/>
      <c r="V229" s="670"/>
      <c r="W229" s="670"/>
      <c r="X229" s="671">
        <v>2500</v>
      </c>
      <c r="Y229" s="671">
        <v>2475</v>
      </c>
      <c r="Z229" s="673"/>
      <c r="AA229" s="673"/>
      <c r="AB229" s="671"/>
      <c r="AC229" s="669"/>
      <c r="AD229" s="669"/>
      <c r="AE229" s="669"/>
      <c r="AF229" s="669"/>
      <c r="AG229" s="669"/>
      <c r="AH229" s="669"/>
      <c r="AI229" s="669"/>
      <c r="AJ229" s="672"/>
      <c r="AK229" s="673"/>
      <c r="AL229" s="673"/>
      <c r="AM229" s="665">
        <v>2500</v>
      </c>
      <c r="AN229" s="665">
        <v>2475</v>
      </c>
      <c r="AO229" s="665"/>
      <c r="AP229" s="665"/>
      <c r="AQ229" s="666"/>
      <c r="AR229" s="666"/>
      <c r="AS229" s="674">
        <v>2500</v>
      </c>
      <c r="AT229" s="674">
        <v>2475</v>
      </c>
      <c r="AU229" s="660"/>
      <c r="AV229" s="660"/>
      <c r="AW229" s="148"/>
      <c r="AX229" s="119"/>
    </row>
    <row r="230" spans="1:50" ht="31.5" x14ac:dyDescent="0.25">
      <c r="A230" s="448" t="s">
        <v>813</v>
      </c>
      <c r="B230" s="449" t="s">
        <v>1910</v>
      </c>
      <c r="C230" s="450" t="s">
        <v>1114</v>
      </c>
      <c r="D230" s="450"/>
      <c r="E230" s="450">
        <v>2019</v>
      </c>
      <c r="F230" s="450"/>
      <c r="G230" s="672">
        <v>1500</v>
      </c>
      <c r="H230" s="672">
        <v>1485</v>
      </c>
      <c r="I230" s="670"/>
      <c r="J230" s="670"/>
      <c r="K230" s="670"/>
      <c r="L230" s="670"/>
      <c r="M230" s="670"/>
      <c r="N230" s="670"/>
      <c r="O230" s="670"/>
      <c r="P230" s="670"/>
      <c r="Q230" s="670"/>
      <c r="R230" s="670"/>
      <c r="S230" s="670"/>
      <c r="T230" s="670"/>
      <c r="U230" s="670"/>
      <c r="V230" s="670"/>
      <c r="W230" s="670"/>
      <c r="X230" s="671">
        <v>1500</v>
      </c>
      <c r="Y230" s="671">
        <v>1485</v>
      </c>
      <c r="Z230" s="673"/>
      <c r="AA230" s="673"/>
      <c r="AB230" s="671"/>
      <c r="AC230" s="669"/>
      <c r="AD230" s="669"/>
      <c r="AE230" s="669"/>
      <c r="AF230" s="669"/>
      <c r="AG230" s="669"/>
      <c r="AH230" s="669"/>
      <c r="AI230" s="669"/>
      <c r="AJ230" s="672"/>
      <c r="AK230" s="673"/>
      <c r="AL230" s="673"/>
      <c r="AM230" s="665">
        <v>1500</v>
      </c>
      <c r="AN230" s="665">
        <v>1485</v>
      </c>
      <c r="AO230" s="665"/>
      <c r="AP230" s="665"/>
      <c r="AQ230" s="666"/>
      <c r="AR230" s="666"/>
      <c r="AS230" s="674">
        <v>1500</v>
      </c>
      <c r="AT230" s="674">
        <v>1485</v>
      </c>
      <c r="AU230" s="660"/>
      <c r="AV230" s="660"/>
      <c r="AW230" s="148"/>
      <c r="AX230" s="119"/>
    </row>
    <row r="231" spans="1:50" ht="31.5" x14ac:dyDescent="0.25">
      <c r="A231" s="448" t="s">
        <v>816</v>
      </c>
      <c r="B231" s="449" t="s">
        <v>1911</v>
      </c>
      <c r="C231" s="450" t="s">
        <v>1114</v>
      </c>
      <c r="D231" s="450"/>
      <c r="E231" s="541" t="s">
        <v>57</v>
      </c>
      <c r="F231" s="450"/>
      <c r="G231" s="672">
        <v>25000</v>
      </c>
      <c r="H231" s="672">
        <v>3000</v>
      </c>
      <c r="I231" s="670"/>
      <c r="J231" s="670"/>
      <c r="K231" s="670"/>
      <c r="L231" s="670"/>
      <c r="M231" s="670"/>
      <c r="N231" s="670"/>
      <c r="O231" s="670"/>
      <c r="P231" s="670"/>
      <c r="Q231" s="670"/>
      <c r="R231" s="670"/>
      <c r="S231" s="670"/>
      <c r="T231" s="670"/>
      <c r="U231" s="670"/>
      <c r="V231" s="670"/>
      <c r="W231" s="670"/>
      <c r="X231" s="671">
        <v>25000</v>
      </c>
      <c r="Y231" s="671">
        <v>3000</v>
      </c>
      <c r="Z231" s="673"/>
      <c r="AA231" s="673"/>
      <c r="AB231" s="671"/>
      <c r="AC231" s="669"/>
      <c r="AD231" s="669"/>
      <c r="AE231" s="669"/>
      <c r="AF231" s="669"/>
      <c r="AG231" s="669"/>
      <c r="AH231" s="669"/>
      <c r="AI231" s="669"/>
      <c r="AJ231" s="672"/>
      <c r="AK231" s="673"/>
      <c r="AL231" s="673">
        <v>2092</v>
      </c>
      <c r="AM231" s="665">
        <v>25000</v>
      </c>
      <c r="AN231" s="665">
        <v>908</v>
      </c>
      <c r="AO231" s="665"/>
      <c r="AP231" s="665"/>
      <c r="AQ231" s="666"/>
      <c r="AR231" s="666"/>
      <c r="AS231" s="674">
        <v>25000</v>
      </c>
      <c r="AT231" s="674">
        <v>908</v>
      </c>
      <c r="AU231" s="660"/>
      <c r="AV231" s="660"/>
      <c r="AW231" s="742"/>
      <c r="AX231" s="119"/>
    </row>
    <row r="232" spans="1:50" ht="47.25" x14ac:dyDescent="0.25">
      <c r="A232" s="448"/>
      <c r="B232" s="449" t="s">
        <v>1912</v>
      </c>
      <c r="C232" s="450" t="s">
        <v>1093</v>
      </c>
      <c r="D232" s="450"/>
      <c r="E232" s="450">
        <v>2020</v>
      </c>
      <c r="F232" s="450"/>
      <c r="G232" s="672">
        <v>2000</v>
      </c>
      <c r="H232" s="672">
        <v>1486</v>
      </c>
      <c r="I232" s="670"/>
      <c r="J232" s="670"/>
      <c r="K232" s="670"/>
      <c r="L232" s="670"/>
      <c r="M232" s="670"/>
      <c r="N232" s="670"/>
      <c r="O232" s="670"/>
      <c r="P232" s="670"/>
      <c r="Q232" s="670"/>
      <c r="R232" s="670"/>
      <c r="S232" s="670"/>
      <c r="T232" s="670"/>
      <c r="U232" s="670"/>
      <c r="V232" s="670"/>
      <c r="W232" s="670"/>
      <c r="X232" s="671">
        <v>2000</v>
      </c>
      <c r="Y232" s="671">
        <v>1486</v>
      </c>
      <c r="Z232" s="673"/>
      <c r="AA232" s="673"/>
      <c r="AB232" s="671"/>
      <c r="AC232" s="669"/>
      <c r="AD232" s="669"/>
      <c r="AE232" s="669"/>
      <c r="AF232" s="669"/>
      <c r="AG232" s="669"/>
      <c r="AH232" s="669"/>
      <c r="AI232" s="669"/>
      <c r="AJ232" s="672"/>
      <c r="AK232" s="673"/>
      <c r="AL232" s="673">
        <v>1486</v>
      </c>
      <c r="AM232" s="665"/>
      <c r="AN232" s="665"/>
      <c r="AO232" s="665"/>
      <c r="AP232" s="665"/>
      <c r="AQ232" s="666"/>
      <c r="AR232" s="666"/>
      <c r="AS232" s="674"/>
      <c r="AT232" s="674"/>
      <c r="AU232" s="660"/>
      <c r="AV232" s="660"/>
      <c r="AW232" s="147"/>
      <c r="AX232" s="119"/>
    </row>
    <row r="233" spans="1:50" ht="31.5" x14ac:dyDescent="0.25">
      <c r="A233" s="448" t="s">
        <v>819</v>
      </c>
      <c r="B233" s="449" t="s">
        <v>1913</v>
      </c>
      <c r="C233" s="450" t="s">
        <v>1121</v>
      </c>
      <c r="D233" s="450"/>
      <c r="E233" s="450">
        <v>2020</v>
      </c>
      <c r="F233" s="450"/>
      <c r="G233" s="672">
        <v>1100</v>
      </c>
      <c r="H233" s="672">
        <v>1089</v>
      </c>
      <c r="I233" s="670"/>
      <c r="J233" s="670"/>
      <c r="K233" s="670"/>
      <c r="L233" s="670"/>
      <c r="M233" s="670"/>
      <c r="N233" s="670"/>
      <c r="O233" s="670"/>
      <c r="P233" s="670"/>
      <c r="Q233" s="670"/>
      <c r="R233" s="670"/>
      <c r="S233" s="670"/>
      <c r="T233" s="670"/>
      <c r="U233" s="670"/>
      <c r="V233" s="670"/>
      <c r="W233" s="670"/>
      <c r="X233" s="671">
        <v>1100</v>
      </c>
      <c r="Y233" s="671">
        <v>1089</v>
      </c>
      <c r="Z233" s="673"/>
      <c r="AA233" s="673"/>
      <c r="AB233" s="671"/>
      <c r="AC233" s="669"/>
      <c r="AD233" s="669"/>
      <c r="AE233" s="669"/>
      <c r="AF233" s="669"/>
      <c r="AG233" s="669"/>
      <c r="AH233" s="669"/>
      <c r="AI233" s="669"/>
      <c r="AJ233" s="672"/>
      <c r="AK233" s="673"/>
      <c r="AL233" s="673"/>
      <c r="AM233" s="665">
        <v>1100</v>
      </c>
      <c r="AN233" s="665">
        <v>1089</v>
      </c>
      <c r="AO233" s="665"/>
      <c r="AP233" s="665"/>
      <c r="AQ233" s="666"/>
      <c r="AR233" s="666"/>
      <c r="AS233" s="674">
        <v>1100</v>
      </c>
      <c r="AT233" s="674">
        <v>1089</v>
      </c>
      <c r="AU233" s="660"/>
      <c r="AV233" s="660"/>
      <c r="AW233" s="147"/>
      <c r="AX233" s="119"/>
    </row>
    <row r="234" spans="1:50" ht="47.25" x14ac:dyDescent="0.25">
      <c r="A234" s="448" t="s">
        <v>821</v>
      </c>
      <c r="B234" s="449" t="s">
        <v>1914</v>
      </c>
      <c r="C234" s="450" t="s">
        <v>1101</v>
      </c>
      <c r="D234" s="450"/>
      <c r="E234" s="450">
        <v>2020</v>
      </c>
      <c r="F234" s="450"/>
      <c r="G234" s="672">
        <v>1500</v>
      </c>
      <c r="H234" s="672">
        <v>1485</v>
      </c>
      <c r="I234" s="670"/>
      <c r="J234" s="670"/>
      <c r="K234" s="670"/>
      <c r="L234" s="670"/>
      <c r="M234" s="670"/>
      <c r="N234" s="670"/>
      <c r="O234" s="670"/>
      <c r="P234" s="670"/>
      <c r="Q234" s="670"/>
      <c r="R234" s="670"/>
      <c r="S234" s="670"/>
      <c r="T234" s="670"/>
      <c r="U234" s="670"/>
      <c r="V234" s="670"/>
      <c r="W234" s="670"/>
      <c r="X234" s="671">
        <v>1500</v>
      </c>
      <c r="Y234" s="671">
        <v>1485</v>
      </c>
      <c r="Z234" s="673"/>
      <c r="AA234" s="673"/>
      <c r="AB234" s="671"/>
      <c r="AC234" s="669"/>
      <c r="AD234" s="669"/>
      <c r="AE234" s="669"/>
      <c r="AF234" s="669"/>
      <c r="AG234" s="669"/>
      <c r="AH234" s="669"/>
      <c r="AI234" s="669"/>
      <c r="AJ234" s="672"/>
      <c r="AK234" s="673"/>
      <c r="AL234" s="673">
        <v>371</v>
      </c>
      <c r="AM234" s="665">
        <v>1125</v>
      </c>
      <c r="AN234" s="665">
        <v>1114</v>
      </c>
      <c r="AO234" s="665"/>
      <c r="AP234" s="665"/>
      <c r="AQ234" s="666"/>
      <c r="AR234" s="666">
        <v>1114</v>
      </c>
      <c r="AS234" s="674"/>
      <c r="AT234" s="674"/>
      <c r="AU234" s="660"/>
      <c r="AV234" s="660"/>
      <c r="AW234" s="147"/>
      <c r="AX234" s="119"/>
    </row>
    <row r="235" spans="1:50" ht="31.5" x14ac:dyDescent="0.25">
      <c r="A235" s="448" t="s">
        <v>823</v>
      </c>
      <c r="B235" s="449" t="s">
        <v>1915</v>
      </c>
      <c r="C235" s="450" t="s">
        <v>1095</v>
      </c>
      <c r="D235" s="450"/>
      <c r="E235" s="450">
        <v>2020</v>
      </c>
      <c r="F235" s="450"/>
      <c r="G235" s="672">
        <v>1500</v>
      </c>
      <c r="H235" s="672">
        <v>1485</v>
      </c>
      <c r="I235" s="670"/>
      <c r="J235" s="670"/>
      <c r="K235" s="670"/>
      <c r="L235" s="670"/>
      <c r="M235" s="670"/>
      <c r="N235" s="670"/>
      <c r="O235" s="670"/>
      <c r="P235" s="670"/>
      <c r="Q235" s="670"/>
      <c r="R235" s="670"/>
      <c r="S235" s="670"/>
      <c r="T235" s="670"/>
      <c r="U235" s="670"/>
      <c r="V235" s="670"/>
      <c r="W235" s="670"/>
      <c r="X235" s="671">
        <v>1500</v>
      </c>
      <c r="Y235" s="671">
        <v>1485</v>
      </c>
      <c r="Z235" s="673"/>
      <c r="AA235" s="673"/>
      <c r="AB235" s="671"/>
      <c r="AC235" s="669"/>
      <c r="AD235" s="669"/>
      <c r="AE235" s="669"/>
      <c r="AF235" s="669"/>
      <c r="AG235" s="669"/>
      <c r="AH235" s="669"/>
      <c r="AI235" s="669"/>
      <c r="AJ235" s="672"/>
      <c r="AK235" s="673"/>
      <c r="AL235" s="673">
        <v>176</v>
      </c>
      <c r="AM235" s="665">
        <v>1322</v>
      </c>
      <c r="AN235" s="665">
        <v>1309</v>
      </c>
      <c r="AO235" s="665"/>
      <c r="AP235" s="665"/>
      <c r="AQ235" s="666"/>
      <c r="AR235" s="666">
        <v>1309</v>
      </c>
      <c r="AS235" s="674"/>
      <c r="AT235" s="674"/>
      <c r="AU235" s="660"/>
      <c r="AV235" s="660"/>
      <c r="AW235" s="147"/>
      <c r="AX235" s="119"/>
    </row>
    <row r="236" spans="1:50" ht="31.5" x14ac:dyDescent="0.25">
      <c r="A236" s="448" t="s">
        <v>825</v>
      </c>
      <c r="B236" s="449" t="s">
        <v>1916</v>
      </c>
      <c r="C236" s="450" t="s">
        <v>1095</v>
      </c>
      <c r="D236" s="450"/>
      <c r="E236" s="450">
        <v>2020</v>
      </c>
      <c r="F236" s="450"/>
      <c r="G236" s="672">
        <v>1600</v>
      </c>
      <c r="H236" s="672">
        <v>1554</v>
      </c>
      <c r="I236" s="670"/>
      <c r="J236" s="670"/>
      <c r="K236" s="670"/>
      <c r="L236" s="670"/>
      <c r="M236" s="670"/>
      <c r="N236" s="670"/>
      <c r="O236" s="670"/>
      <c r="P236" s="670"/>
      <c r="Q236" s="670"/>
      <c r="R236" s="670"/>
      <c r="S236" s="670"/>
      <c r="T236" s="670"/>
      <c r="U236" s="670"/>
      <c r="V236" s="670"/>
      <c r="W236" s="670"/>
      <c r="X236" s="671">
        <v>1600</v>
      </c>
      <c r="Y236" s="671">
        <v>1554</v>
      </c>
      <c r="Z236" s="673"/>
      <c r="AA236" s="673"/>
      <c r="AB236" s="671"/>
      <c r="AC236" s="669"/>
      <c r="AD236" s="669"/>
      <c r="AE236" s="669"/>
      <c r="AF236" s="669"/>
      <c r="AG236" s="669"/>
      <c r="AH236" s="669"/>
      <c r="AI236" s="669"/>
      <c r="AJ236" s="672"/>
      <c r="AK236" s="673"/>
      <c r="AL236" s="673">
        <v>870</v>
      </c>
      <c r="AM236" s="665">
        <v>1600</v>
      </c>
      <c r="AN236" s="665">
        <v>684</v>
      </c>
      <c r="AO236" s="665"/>
      <c r="AP236" s="665"/>
      <c r="AQ236" s="666"/>
      <c r="AR236" s="666"/>
      <c r="AS236" s="674">
        <v>1600</v>
      </c>
      <c r="AT236" s="674">
        <v>684</v>
      </c>
      <c r="AU236" s="660"/>
      <c r="AV236" s="660"/>
      <c r="AW236" s="147"/>
      <c r="AX236" s="119"/>
    </row>
    <row r="237" spans="1:50" ht="31.5" x14ac:dyDescent="0.25">
      <c r="A237" s="448" t="s">
        <v>827</v>
      </c>
      <c r="B237" s="449" t="s">
        <v>1917</v>
      </c>
      <c r="C237" s="450" t="s">
        <v>1119</v>
      </c>
      <c r="D237" s="450"/>
      <c r="E237" s="450">
        <v>2020</v>
      </c>
      <c r="F237" s="450"/>
      <c r="G237" s="672">
        <v>2000</v>
      </c>
      <c r="H237" s="672">
        <v>1980</v>
      </c>
      <c r="I237" s="670"/>
      <c r="J237" s="670"/>
      <c r="K237" s="670"/>
      <c r="L237" s="670"/>
      <c r="M237" s="670"/>
      <c r="N237" s="670"/>
      <c r="O237" s="670"/>
      <c r="P237" s="670"/>
      <c r="Q237" s="670"/>
      <c r="R237" s="670"/>
      <c r="S237" s="670"/>
      <c r="T237" s="670"/>
      <c r="U237" s="670"/>
      <c r="V237" s="670"/>
      <c r="W237" s="670"/>
      <c r="X237" s="671">
        <v>2000</v>
      </c>
      <c r="Y237" s="671">
        <v>1980</v>
      </c>
      <c r="Z237" s="673"/>
      <c r="AA237" s="673"/>
      <c r="AB237" s="671"/>
      <c r="AC237" s="669"/>
      <c r="AD237" s="669"/>
      <c r="AE237" s="669"/>
      <c r="AF237" s="669"/>
      <c r="AG237" s="669"/>
      <c r="AH237" s="669"/>
      <c r="AI237" s="669"/>
      <c r="AJ237" s="672"/>
      <c r="AK237" s="673"/>
      <c r="AL237" s="673">
        <v>1450</v>
      </c>
      <c r="AM237" s="665">
        <v>535</v>
      </c>
      <c r="AN237" s="665">
        <v>530</v>
      </c>
      <c r="AO237" s="665"/>
      <c r="AP237" s="665"/>
      <c r="AQ237" s="666"/>
      <c r="AR237" s="666"/>
      <c r="AS237" s="674">
        <v>535</v>
      </c>
      <c r="AT237" s="674">
        <v>530</v>
      </c>
      <c r="AU237" s="660"/>
      <c r="AV237" s="660"/>
      <c r="AW237" s="147"/>
      <c r="AX237" s="119"/>
    </row>
    <row r="238" spans="1:50" ht="31.5" x14ac:dyDescent="0.25">
      <c r="A238" s="448" t="s">
        <v>829</v>
      </c>
      <c r="B238" s="449" t="s">
        <v>1918</v>
      </c>
      <c r="C238" s="450" t="s">
        <v>1124</v>
      </c>
      <c r="D238" s="450"/>
      <c r="E238" s="450">
        <v>2020</v>
      </c>
      <c r="F238" s="450"/>
      <c r="G238" s="672">
        <v>4500</v>
      </c>
      <c r="H238" s="672">
        <v>4455</v>
      </c>
      <c r="I238" s="670"/>
      <c r="J238" s="670"/>
      <c r="K238" s="670"/>
      <c r="L238" s="670"/>
      <c r="M238" s="670"/>
      <c r="N238" s="670"/>
      <c r="O238" s="670"/>
      <c r="P238" s="670"/>
      <c r="Q238" s="670"/>
      <c r="R238" s="670"/>
      <c r="S238" s="670"/>
      <c r="T238" s="670"/>
      <c r="U238" s="670"/>
      <c r="V238" s="670"/>
      <c r="W238" s="670"/>
      <c r="X238" s="671">
        <v>4500</v>
      </c>
      <c r="Y238" s="671">
        <v>4455</v>
      </c>
      <c r="Z238" s="673"/>
      <c r="AA238" s="673"/>
      <c r="AB238" s="671"/>
      <c r="AC238" s="669"/>
      <c r="AD238" s="669"/>
      <c r="AE238" s="669"/>
      <c r="AF238" s="669"/>
      <c r="AG238" s="669"/>
      <c r="AH238" s="669"/>
      <c r="AI238" s="669"/>
      <c r="AJ238" s="672"/>
      <c r="AK238" s="673"/>
      <c r="AL238" s="673">
        <v>1652</v>
      </c>
      <c r="AM238" s="665">
        <v>2832</v>
      </c>
      <c r="AN238" s="665">
        <v>2803</v>
      </c>
      <c r="AO238" s="665"/>
      <c r="AP238" s="665"/>
      <c r="AQ238" s="666"/>
      <c r="AR238" s="666"/>
      <c r="AS238" s="674">
        <v>2832</v>
      </c>
      <c r="AT238" s="674">
        <v>2803</v>
      </c>
      <c r="AU238" s="660"/>
      <c r="AV238" s="660"/>
      <c r="AW238" s="147"/>
      <c r="AX238" s="119"/>
    </row>
    <row r="239" spans="1:50" ht="31.5" x14ac:dyDescent="0.25">
      <c r="A239" s="448"/>
      <c r="B239" s="449" t="s">
        <v>1919</v>
      </c>
      <c r="C239" s="450" t="s">
        <v>1128</v>
      </c>
      <c r="D239" s="450"/>
      <c r="E239" s="450">
        <v>2020</v>
      </c>
      <c r="F239" s="450"/>
      <c r="G239" s="672">
        <v>1000</v>
      </c>
      <c r="H239" s="672">
        <v>990</v>
      </c>
      <c r="I239" s="670"/>
      <c r="J239" s="670"/>
      <c r="K239" s="670"/>
      <c r="L239" s="670"/>
      <c r="M239" s="670"/>
      <c r="N239" s="670"/>
      <c r="O239" s="670"/>
      <c r="P239" s="670"/>
      <c r="Q239" s="670"/>
      <c r="R239" s="670"/>
      <c r="S239" s="670"/>
      <c r="T239" s="670"/>
      <c r="U239" s="670"/>
      <c r="V239" s="670"/>
      <c r="W239" s="670"/>
      <c r="X239" s="671">
        <v>1000</v>
      </c>
      <c r="Y239" s="671">
        <v>990</v>
      </c>
      <c r="Z239" s="673"/>
      <c r="AA239" s="673"/>
      <c r="AB239" s="671"/>
      <c r="AC239" s="669"/>
      <c r="AD239" s="669"/>
      <c r="AE239" s="669"/>
      <c r="AF239" s="669"/>
      <c r="AG239" s="669"/>
      <c r="AH239" s="669"/>
      <c r="AI239" s="669"/>
      <c r="AJ239" s="672"/>
      <c r="AK239" s="673"/>
      <c r="AL239" s="673">
        <v>990</v>
      </c>
      <c r="AM239" s="665"/>
      <c r="AN239" s="665"/>
      <c r="AO239" s="665"/>
      <c r="AP239" s="665"/>
      <c r="AQ239" s="666"/>
      <c r="AR239" s="666"/>
      <c r="AS239" s="674"/>
      <c r="AT239" s="674"/>
      <c r="AU239" s="660"/>
      <c r="AV239" s="660"/>
      <c r="AW239" s="147"/>
      <c r="AX239" s="119"/>
    </row>
    <row r="240" spans="1:50" ht="31.5" x14ac:dyDescent="0.25">
      <c r="A240" s="448" t="s">
        <v>831</v>
      </c>
      <c r="B240" s="449" t="s">
        <v>1920</v>
      </c>
      <c r="C240" s="450" t="s">
        <v>1128</v>
      </c>
      <c r="D240" s="450"/>
      <c r="E240" s="450">
        <v>2020</v>
      </c>
      <c r="F240" s="450"/>
      <c r="G240" s="672"/>
      <c r="H240" s="672"/>
      <c r="I240" s="670"/>
      <c r="J240" s="670"/>
      <c r="K240" s="670"/>
      <c r="L240" s="670"/>
      <c r="M240" s="670"/>
      <c r="N240" s="670"/>
      <c r="O240" s="670"/>
      <c r="P240" s="670"/>
      <c r="Q240" s="670"/>
      <c r="R240" s="670"/>
      <c r="S240" s="670"/>
      <c r="T240" s="670"/>
      <c r="U240" s="670"/>
      <c r="V240" s="670"/>
      <c r="W240" s="670"/>
      <c r="X240" s="671"/>
      <c r="Y240" s="671"/>
      <c r="Z240" s="673"/>
      <c r="AA240" s="673"/>
      <c r="AB240" s="671"/>
      <c r="AC240" s="669"/>
      <c r="AD240" s="669"/>
      <c r="AE240" s="669"/>
      <c r="AF240" s="669"/>
      <c r="AG240" s="669"/>
      <c r="AH240" s="669"/>
      <c r="AI240" s="669"/>
      <c r="AJ240" s="672"/>
      <c r="AK240" s="673">
        <v>1186</v>
      </c>
      <c r="AL240" s="673"/>
      <c r="AM240" s="665">
        <v>1196</v>
      </c>
      <c r="AN240" s="665">
        <v>1186</v>
      </c>
      <c r="AO240" s="665"/>
      <c r="AP240" s="665"/>
      <c r="AQ240" s="666"/>
      <c r="AR240" s="666"/>
      <c r="AS240" s="674">
        <v>1196</v>
      </c>
      <c r="AT240" s="674">
        <v>1186</v>
      </c>
      <c r="AU240" s="660"/>
      <c r="AV240" s="660"/>
      <c r="AW240" s="147"/>
      <c r="AX240" s="119"/>
    </row>
    <row r="241" spans="1:50" ht="31.5" x14ac:dyDescent="0.25">
      <c r="A241" s="448" t="s">
        <v>833</v>
      </c>
      <c r="B241" s="449" t="s">
        <v>1921</v>
      </c>
      <c r="C241" s="450" t="s">
        <v>1095</v>
      </c>
      <c r="D241" s="450"/>
      <c r="E241" s="450">
        <v>2020</v>
      </c>
      <c r="F241" s="450"/>
      <c r="G241" s="672">
        <v>1400</v>
      </c>
      <c r="H241" s="672">
        <v>1386</v>
      </c>
      <c r="I241" s="670"/>
      <c r="J241" s="670"/>
      <c r="K241" s="670"/>
      <c r="L241" s="670"/>
      <c r="M241" s="670"/>
      <c r="N241" s="670"/>
      <c r="O241" s="670"/>
      <c r="P241" s="670"/>
      <c r="Q241" s="670"/>
      <c r="R241" s="670"/>
      <c r="S241" s="670"/>
      <c r="T241" s="670"/>
      <c r="U241" s="670"/>
      <c r="V241" s="670"/>
      <c r="W241" s="670"/>
      <c r="X241" s="671">
        <v>1400</v>
      </c>
      <c r="Y241" s="671">
        <v>1386</v>
      </c>
      <c r="Z241" s="673"/>
      <c r="AA241" s="673"/>
      <c r="AB241" s="671"/>
      <c r="AC241" s="669"/>
      <c r="AD241" s="669"/>
      <c r="AE241" s="669"/>
      <c r="AF241" s="669"/>
      <c r="AG241" s="669"/>
      <c r="AH241" s="669"/>
      <c r="AI241" s="669"/>
      <c r="AJ241" s="672"/>
      <c r="AK241" s="673"/>
      <c r="AL241" s="673">
        <v>806</v>
      </c>
      <c r="AM241" s="665">
        <v>585</v>
      </c>
      <c r="AN241" s="665">
        <v>580</v>
      </c>
      <c r="AO241" s="665"/>
      <c r="AP241" s="665"/>
      <c r="AQ241" s="666"/>
      <c r="AR241" s="666"/>
      <c r="AS241" s="674">
        <v>585</v>
      </c>
      <c r="AT241" s="674">
        <v>580</v>
      </c>
      <c r="AU241" s="660"/>
      <c r="AV241" s="660"/>
      <c r="AW241" s="147"/>
      <c r="AX241" s="119"/>
    </row>
    <row r="242" spans="1:50" s="14" customFormat="1" ht="47.25" x14ac:dyDescent="0.25">
      <c r="A242" s="448" t="s">
        <v>835</v>
      </c>
      <c r="B242" s="449" t="s">
        <v>1922</v>
      </c>
      <c r="C242" s="450" t="s">
        <v>1923</v>
      </c>
      <c r="D242" s="450"/>
      <c r="E242" s="450">
        <v>2020</v>
      </c>
      <c r="F242" s="450"/>
      <c r="G242" s="673"/>
      <c r="H242" s="673"/>
      <c r="I242" s="670"/>
      <c r="J242" s="670"/>
      <c r="K242" s="670"/>
      <c r="L242" s="670"/>
      <c r="M242" s="670"/>
      <c r="N242" s="670"/>
      <c r="O242" s="670"/>
      <c r="P242" s="670"/>
      <c r="Q242" s="670"/>
      <c r="R242" s="670"/>
      <c r="S242" s="670"/>
      <c r="T242" s="670"/>
      <c r="U242" s="670"/>
      <c r="V242" s="670"/>
      <c r="W242" s="670"/>
      <c r="X242" s="671"/>
      <c r="Y242" s="671"/>
      <c r="Z242" s="673"/>
      <c r="AA242" s="673"/>
      <c r="AB242" s="671"/>
      <c r="AC242" s="669"/>
      <c r="AD242" s="669"/>
      <c r="AE242" s="669"/>
      <c r="AF242" s="669"/>
      <c r="AG242" s="669"/>
      <c r="AH242" s="669"/>
      <c r="AI242" s="669"/>
      <c r="AJ242" s="672"/>
      <c r="AK242" s="673">
        <v>744</v>
      </c>
      <c r="AL242" s="673"/>
      <c r="AM242" s="665">
        <v>751</v>
      </c>
      <c r="AN242" s="665">
        <v>744</v>
      </c>
      <c r="AO242" s="665"/>
      <c r="AP242" s="665"/>
      <c r="AQ242" s="666"/>
      <c r="AR242" s="666"/>
      <c r="AS242" s="674">
        <v>751</v>
      </c>
      <c r="AT242" s="674">
        <v>744</v>
      </c>
      <c r="AU242" s="668"/>
      <c r="AV242" s="668"/>
      <c r="AW242" s="225"/>
    </row>
    <row r="243" spans="1:50" ht="31.5" x14ac:dyDescent="0.25">
      <c r="A243" s="448" t="s">
        <v>837</v>
      </c>
      <c r="B243" s="449" t="s">
        <v>1924</v>
      </c>
      <c r="C243" s="450" t="s">
        <v>1925</v>
      </c>
      <c r="D243" s="450"/>
      <c r="E243" s="450">
        <v>2020</v>
      </c>
      <c r="F243" s="450"/>
      <c r="G243" s="673"/>
      <c r="H243" s="673"/>
      <c r="I243" s="670"/>
      <c r="J243" s="670"/>
      <c r="K243" s="670"/>
      <c r="L243" s="670"/>
      <c r="M243" s="670"/>
      <c r="N243" s="670"/>
      <c r="O243" s="670"/>
      <c r="P243" s="670"/>
      <c r="Q243" s="670"/>
      <c r="R243" s="670"/>
      <c r="S243" s="670"/>
      <c r="T243" s="670"/>
      <c r="U243" s="670"/>
      <c r="V243" s="670"/>
      <c r="W243" s="670"/>
      <c r="X243" s="671"/>
      <c r="Y243" s="671"/>
      <c r="Z243" s="673"/>
      <c r="AA243" s="673"/>
      <c r="AB243" s="671"/>
      <c r="AC243" s="669"/>
      <c r="AD243" s="669"/>
      <c r="AE243" s="669"/>
      <c r="AF243" s="669"/>
      <c r="AG243" s="669"/>
      <c r="AH243" s="669"/>
      <c r="AI243" s="669"/>
      <c r="AJ243" s="672"/>
      <c r="AK243" s="673">
        <v>450</v>
      </c>
      <c r="AL243" s="673"/>
      <c r="AM243" s="665">
        <v>455</v>
      </c>
      <c r="AN243" s="665">
        <v>450</v>
      </c>
      <c r="AO243" s="665"/>
      <c r="AP243" s="665"/>
      <c r="AQ243" s="666"/>
      <c r="AR243" s="666"/>
      <c r="AS243" s="744">
        <v>455</v>
      </c>
      <c r="AT243" s="744">
        <v>450</v>
      </c>
      <c r="AU243" s="745"/>
      <c r="AV243" s="745"/>
      <c r="AW243" s="147"/>
      <c r="AX243" s="119"/>
    </row>
    <row r="244" spans="1:50" ht="31.5" x14ac:dyDescent="0.25">
      <c r="A244" s="448" t="s">
        <v>839</v>
      </c>
      <c r="B244" s="449" t="s">
        <v>1926</v>
      </c>
      <c r="C244" s="450" t="s">
        <v>1925</v>
      </c>
      <c r="D244" s="450"/>
      <c r="E244" s="450">
        <v>2020</v>
      </c>
      <c r="F244" s="450"/>
      <c r="G244" s="673"/>
      <c r="H244" s="673"/>
      <c r="I244" s="670"/>
      <c r="J244" s="670"/>
      <c r="K244" s="670"/>
      <c r="L244" s="670"/>
      <c r="M244" s="670"/>
      <c r="N244" s="670"/>
      <c r="O244" s="670"/>
      <c r="P244" s="670"/>
      <c r="Q244" s="670"/>
      <c r="R244" s="670"/>
      <c r="S244" s="670"/>
      <c r="T244" s="670"/>
      <c r="U244" s="670"/>
      <c r="V244" s="670"/>
      <c r="W244" s="670"/>
      <c r="X244" s="671"/>
      <c r="Y244" s="671"/>
      <c r="Z244" s="673"/>
      <c r="AA244" s="673"/>
      <c r="AB244" s="671"/>
      <c r="AC244" s="669"/>
      <c r="AD244" s="669"/>
      <c r="AE244" s="669"/>
      <c r="AF244" s="669"/>
      <c r="AG244" s="669"/>
      <c r="AH244" s="669"/>
      <c r="AI244" s="669"/>
      <c r="AJ244" s="672"/>
      <c r="AK244" s="673">
        <v>450</v>
      </c>
      <c r="AL244" s="673"/>
      <c r="AM244" s="665">
        <v>455</v>
      </c>
      <c r="AN244" s="665">
        <v>450</v>
      </c>
      <c r="AO244" s="665"/>
      <c r="AP244" s="665"/>
      <c r="AQ244" s="666"/>
      <c r="AR244" s="666"/>
      <c r="AS244" s="674">
        <v>455</v>
      </c>
      <c r="AT244" s="674">
        <v>450</v>
      </c>
      <c r="AU244" s="660"/>
      <c r="AV244" s="660"/>
      <c r="AW244" s="147"/>
      <c r="AX244" s="119"/>
    </row>
    <row r="245" spans="1:50" ht="47.25" x14ac:dyDescent="0.25">
      <c r="A245" s="448" t="s">
        <v>841</v>
      </c>
      <c r="B245" s="533" t="s">
        <v>1927</v>
      </c>
      <c r="C245" s="450" t="s">
        <v>1925</v>
      </c>
      <c r="D245" s="450"/>
      <c r="E245" s="450">
        <v>2020</v>
      </c>
      <c r="F245" s="450"/>
      <c r="G245" s="673"/>
      <c r="H245" s="673"/>
      <c r="I245" s="670"/>
      <c r="J245" s="670"/>
      <c r="K245" s="670"/>
      <c r="L245" s="670"/>
      <c r="M245" s="670"/>
      <c r="N245" s="670"/>
      <c r="O245" s="670"/>
      <c r="P245" s="670"/>
      <c r="Q245" s="670"/>
      <c r="R245" s="670"/>
      <c r="S245" s="670"/>
      <c r="T245" s="670"/>
      <c r="U245" s="670"/>
      <c r="V245" s="670"/>
      <c r="W245" s="670"/>
      <c r="X245" s="671"/>
      <c r="Y245" s="671"/>
      <c r="Z245" s="673"/>
      <c r="AA245" s="673"/>
      <c r="AB245" s="671"/>
      <c r="AC245" s="669"/>
      <c r="AD245" s="669"/>
      <c r="AE245" s="669"/>
      <c r="AF245" s="669"/>
      <c r="AG245" s="669"/>
      <c r="AH245" s="669"/>
      <c r="AI245" s="669"/>
      <c r="AJ245" s="672"/>
      <c r="AK245" s="673">
        <v>700</v>
      </c>
      <c r="AL245" s="673"/>
      <c r="AM245" s="665">
        <v>707</v>
      </c>
      <c r="AN245" s="665">
        <v>700</v>
      </c>
      <c r="AO245" s="665"/>
      <c r="AP245" s="665"/>
      <c r="AQ245" s="666"/>
      <c r="AR245" s="666"/>
      <c r="AS245" s="674">
        <v>707</v>
      </c>
      <c r="AT245" s="674">
        <v>700</v>
      </c>
      <c r="AU245" s="660"/>
      <c r="AV245" s="660"/>
      <c r="AW245" s="147"/>
      <c r="AX245" s="119"/>
    </row>
    <row r="246" spans="1:50" ht="47.25" x14ac:dyDescent="0.25">
      <c r="A246" s="448" t="s">
        <v>843</v>
      </c>
      <c r="B246" s="449" t="s">
        <v>1928</v>
      </c>
      <c r="C246" s="450" t="s">
        <v>1929</v>
      </c>
      <c r="D246" s="450"/>
      <c r="E246" s="450">
        <v>2020</v>
      </c>
      <c r="F246" s="450"/>
      <c r="G246" s="673"/>
      <c r="H246" s="673"/>
      <c r="I246" s="670"/>
      <c r="J246" s="670"/>
      <c r="K246" s="670"/>
      <c r="L246" s="670"/>
      <c r="M246" s="670"/>
      <c r="N246" s="670"/>
      <c r="O246" s="670"/>
      <c r="P246" s="670"/>
      <c r="Q246" s="670"/>
      <c r="R246" s="670"/>
      <c r="S246" s="670"/>
      <c r="T246" s="670"/>
      <c r="U246" s="670"/>
      <c r="V246" s="670"/>
      <c r="W246" s="670"/>
      <c r="X246" s="671"/>
      <c r="Y246" s="671"/>
      <c r="Z246" s="673"/>
      <c r="AA246" s="673"/>
      <c r="AB246" s="671"/>
      <c r="AC246" s="669"/>
      <c r="AD246" s="669"/>
      <c r="AE246" s="669"/>
      <c r="AF246" s="669"/>
      <c r="AG246" s="669"/>
      <c r="AH246" s="669"/>
      <c r="AI246" s="669"/>
      <c r="AJ246" s="672"/>
      <c r="AK246" s="673">
        <v>800</v>
      </c>
      <c r="AL246" s="673"/>
      <c r="AM246" s="665">
        <v>808</v>
      </c>
      <c r="AN246" s="665">
        <v>800</v>
      </c>
      <c r="AO246" s="665"/>
      <c r="AP246" s="665"/>
      <c r="AQ246" s="666"/>
      <c r="AR246" s="666"/>
      <c r="AS246" s="744">
        <v>808</v>
      </c>
      <c r="AT246" s="744">
        <v>800</v>
      </c>
      <c r="AU246" s="746"/>
      <c r="AV246" s="746"/>
      <c r="AW246" s="147"/>
      <c r="AX246" s="119"/>
    </row>
    <row r="247" spans="1:50" ht="63" x14ac:dyDescent="0.25">
      <c r="A247" s="448" t="s">
        <v>845</v>
      </c>
      <c r="B247" s="533" t="s">
        <v>1930</v>
      </c>
      <c r="C247" s="450" t="s">
        <v>1931</v>
      </c>
      <c r="D247" s="450"/>
      <c r="E247" s="450">
        <v>2020</v>
      </c>
      <c r="F247" s="450"/>
      <c r="G247" s="673"/>
      <c r="H247" s="673"/>
      <c r="I247" s="670"/>
      <c r="J247" s="670"/>
      <c r="K247" s="670"/>
      <c r="L247" s="670"/>
      <c r="M247" s="670"/>
      <c r="N247" s="670"/>
      <c r="O247" s="670"/>
      <c r="P247" s="670"/>
      <c r="Q247" s="670"/>
      <c r="R247" s="670"/>
      <c r="S247" s="670"/>
      <c r="T247" s="670"/>
      <c r="U247" s="670"/>
      <c r="V247" s="670"/>
      <c r="W247" s="670"/>
      <c r="X247" s="671"/>
      <c r="Y247" s="671"/>
      <c r="Z247" s="673"/>
      <c r="AA247" s="673"/>
      <c r="AB247" s="671"/>
      <c r="AC247" s="669"/>
      <c r="AD247" s="669"/>
      <c r="AE247" s="669"/>
      <c r="AF247" s="669"/>
      <c r="AG247" s="669"/>
      <c r="AH247" s="669"/>
      <c r="AI247" s="669"/>
      <c r="AJ247" s="672"/>
      <c r="AK247" s="673">
        <v>150</v>
      </c>
      <c r="AL247" s="673"/>
      <c r="AM247" s="665">
        <v>157</v>
      </c>
      <c r="AN247" s="665">
        <v>150</v>
      </c>
      <c r="AO247" s="665"/>
      <c r="AP247" s="665"/>
      <c r="AQ247" s="666"/>
      <c r="AR247" s="666"/>
      <c r="AS247" s="674">
        <v>157</v>
      </c>
      <c r="AT247" s="674">
        <v>150</v>
      </c>
      <c r="AU247" s="660"/>
      <c r="AV247" s="660"/>
      <c r="AW247" s="147"/>
      <c r="AX247" s="119"/>
    </row>
    <row r="248" spans="1:50" ht="47.25" x14ac:dyDescent="0.25">
      <c r="A248" s="448" t="s">
        <v>847</v>
      </c>
      <c r="B248" s="449" t="s">
        <v>1932</v>
      </c>
      <c r="C248" s="450" t="s">
        <v>1931</v>
      </c>
      <c r="D248" s="450"/>
      <c r="E248" s="450">
        <v>2020</v>
      </c>
      <c r="F248" s="450"/>
      <c r="G248" s="673"/>
      <c r="H248" s="673"/>
      <c r="I248" s="670"/>
      <c r="J248" s="670"/>
      <c r="K248" s="670"/>
      <c r="L248" s="670"/>
      <c r="M248" s="670"/>
      <c r="N248" s="670"/>
      <c r="O248" s="670"/>
      <c r="P248" s="670"/>
      <c r="Q248" s="670"/>
      <c r="R248" s="670"/>
      <c r="S248" s="670"/>
      <c r="T248" s="670"/>
      <c r="U248" s="670"/>
      <c r="V248" s="670"/>
      <c r="W248" s="670"/>
      <c r="X248" s="671"/>
      <c r="Y248" s="671"/>
      <c r="Z248" s="673"/>
      <c r="AA248" s="673"/>
      <c r="AB248" s="671"/>
      <c r="AC248" s="669"/>
      <c r="AD248" s="669"/>
      <c r="AE248" s="669"/>
      <c r="AF248" s="669"/>
      <c r="AG248" s="669"/>
      <c r="AH248" s="669"/>
      <c r="AI248" s="669"/>
      <c r="AJ248" s="672"/>
      <c r="AK248" s="673">
        <v>650</v>
      </c>
      <c r="AL248" s="673"/>
      <c r="AM248" s="665">
        <v>657</v>
      </c>
      <c r="AN248" s="665">
        <v>650</v>
      </c>
      <c r="AO248" s="665"/>
      <c r="AP248" s="665"/>
      <c r="AQ248" s="666"/>
      <c r="AR248" s="666"/>
      <c r="AS248" s="674">
        <v>657</v>
      </c>
      <c r="AT248" s="674">
        <v>650</v>
      </c>
      <c r="AU248" s="660"/>
      <c r="AV248" s="660"/>
      <c r="AW248" s="147"/>
      <c r="AX248" s="119"/>
    </row>
    <row r="249" spans="1:50" ht="47.25" x14ac:dyDescent="0.25">
      <c r="A249" s="448" t="s">
        <v>849</v>
      </c>
      <c r="B249" s="449" t="s">
        <v>1933</v>
      </c>
      <c r="C249" s="450" t="s">
        <v>1934</v>
      </c>
      <c r="D249" s="450"/>
      <c r="E249" s="450">
        <v>2020</v>
      </c>
      <c r="F249" s="450"/>
      <c r="G249" s="673"/>
      <c r="H249" s="673"/>
      <c r="I249" s="670"/>
      <c r="J249" s="670"/>
      <c r="K249" s="670"/>
      <c r="L249" s="670"/>
      <c r="M249" s="670"/>
      <c r="N249" s="670"/>
      <c r="O249" s="670"/>
      <c r="P249" s="670"/>
      <c r="Q249" s="670"/>
      <c r="R249" s="670"/>
      <c r="S249" s="670"/>
      <c r="T249" s="670"/>
      <c r="U249" s="670"/>
      <c r="V249" s="670"/>
      <c r="W249" s="670"/>
      <c r="X249" s="671"/>
      <c r="Y249" s="671"/>
      <c r="Z249" s="673"/>
      <c r="AA249" s="673"/>
      <c r="AB249" s="671"/>
      <c r="AC249" s="669"/>
      <c r="AD249" s="669"/>
      <c r="AE249" s="669"/>
      <c r="AF249" s="669"/>
      <c r="AG249" s="669"/>
      <c r="AH249" s="669"/>
      <c r="AI249" s="669"/>
      <c r="AJ249" s="672"/>
      <c r="AK249" s="673">
        <v>1300</v>
      </c>
      <c r="AL249" s="673"/>
      <c r="AM249" s="665">
        <v>1313</v>
      </c>
      <c r="AN249" s="665">
        <v>1300</v>
      </c>
      <c r="AO249" s="665"/>
      <c r="AP249" s="665"/>
      <c r="AQ249" s="666"/>
      <c r="AR249" s="666"/>
      <c r="AS249" s="674">
        <v>1313</v>
      </c>
      <c r="AT249" s="674">
        <v>1300</v>
      </c>
      <c r="AU249" s="660"/>
      <c r="AV249" s="660"/>
      <c r="AW249" s="147"/>
      <c r="AX249" s="119"/>
    </row>
    <row r="250" spans="1:50" ht="30" customHeight="1" x14ac:dyDescent="0.25">
      <c r="A250" s="661" t="s">
        <v>730</v>
      </c>
      <c r="B250" s="523" t="s">
        <v>1935</v>
      </c>
      <c r="C250" s="450"/>
      <c r="D250" s="450"/>
      <c r="E250" s="450"/>
      <c r="F250" s="450"/>
      <c r="G250" s="673"/>
      <c r="H250" s="673"/>
      <c r="I250" s="670"/>
      <c r="J250" s="670"/>
      <c r="K250" s="670"/>
      <c r="L250" s="670"/>
      <c r="M250" s="670"/>
      <c r="N250" s="670"/>
      <c r="O250" s="670"/>
      <c r="P250" s="670"/>
      <c r="Q250" s="670"/>
      <c r="R250" s="670"/>
      <c r="S250" s="670"/>
      <c r="T250" s="670"/>
      <c r="U250" s="670"/>
      <c r="V250" s="670"/>
      <c r="W250" s="670"/>
      <c r="X250" s="671"/>
      <c r="Y250" s="671"/>
      <c r="Z250" s="673"/>
      <c r="AA250" s="673"/>
      <c r="AB250" s="671"/>
      <c r="AC250" s="669"/>
      <c r="AD250" s="669"/>
      <c r="AE250" s="669"/>
      <c r="AF250" s="669"/>
      <c r="AG250" s="669"/>
      <c r="AH250" s="669"/>
      <c r="AI250" s="669"/>
      <c r="AJ250" s="672"/>
      <c r="AK250" s="673"/>
      <c r="AL250" s="673"/>
      <c r="AM250" s="665"/>
      <c r="AN250" s="665"/>
      <c r="AO250" s="665"/>
      <c r="AP250" s="665"/>
      <c r="AQ250" s="666"/>
      <c r="AR250" s="666"/>
      <c r="AS250" s="674"/>
      <c r="AT250" s="674"/>
      <c r="AU250" s="660"/>
      <c r="AV250" s="660"/>
      <c r="AW250" s="147"/>
      <c r="AX250" s="119"/>
    </row>
    <row r="251" spans="1:50" ht="47.25" x14ac:dyDescent="0.25">
      <c r="A251" s="448" t="s">
        <v>688</v>
      </c>
      <c r="B251" s="449" t="s">
        <v>1936</v>
      </c>
      <c r="C251" s="450"/>
      <c r="D251" s="450"/>
      <c r="E251" s="450"/>
      <c r="F251" s="450"/>
      <c r="G251" s="673"/>
      <c r="H251" s="673"/>
      <c r="I251" s="670"/>
      <c r="J251" s="670"/>
      <c r="K251" s="670"/>
      <c r="L251" s="670"/>
      <c r="M251" s="670"/>
      <c r="N251" s="670"/>
      <c r="O251" s="670"/>
      <c r="P251" s="670"/>
      <c r="Q251" s="670"/>
      <c r="R251" s="670"/>
      <c r="S251" s="670"/>
      <c r="T251" s="670"/>
      <c r="U251" s="670"/>
      <c r="V251" s="670"/>
      <c r="W251" s="670"/>
      <c r="X251" s="671"/>
      <c r="Y251" s="671"/>
      <c r="Z251" s="673"/>
      <c r="AA251" s="673"/>
      <c r="AB251" s="671"/>
      <c r="AC251" s="669"/>
      <c r="AD251" s="669"/>
      <c r="AE251" s="669"/>
      <c r="AF251" s="669"/>
      <c r="AG251" s="669"/>
      <c r="AH251" s="669"/>
      <c r="AI251" s="669"/>
      <c r="AJ251" s="672"/>
      <c r="AK251" s="673"/>
      <c r="AL251" s="673"/>
      <c r="AM251" s="665"/>
      <c r="AN251" s="665"/>
      <c r="AO251" s="665"/>
      <c r="AP251" s="665"/>
      <c r="AQ251" s="666">
        <v>1114</v>
      </c>
      <c r="AR251" s="666"/>
      <c r="AS251" s="674">
        <v>1238</v>
      </c>
      <c r="AT251" s="674">
        <v>1114</v>
      </c>
      <c r="AU251" s="660"/>
      <c r="AV251" s="660"/>
      <c r="AW251" s="147"/>
      <c r="AX251" s="119"/>
    </row>
    <row r="252" spans="1:50" ht="49.5" customHeight="1" x14ac:dyDescent="0.25">
      <c r="A252" s="448" t="s">
        <v>693</v>
      </c>
      <c r="B252" s="449" t="s">
        <v>1937</v>
      </c>
      <c r="C252" s="450"/>
      <c r="D252" s="450"/>
      <c r="E252" s="450"/>
      <c r="F252" s="450"/>
      <c r="G252" s="673"/>
      <c r="H252" s="673"/>
      <c r="I252" s="670"/>
      <c r="J252" s="670"/>
      <c r="K252" s="670"/>
      <c r="L252" s="670"/>
      <c r="M252" s="670"/>
      <c r="N252" s="670"/>
      <c r="O252" s="670"/>
      <c r="P252" s="670"/>
      <c r="Q252" s="670"/>
      <c r="R252" s="670"/>
      <c r="S252" s="670"/>
      <c r="T252" s="670"/>
      <c r="U252" s="670"/>
      <c r="V252" s="670"/>
      <c r="W252" s="670"/>
      <c r="X252" s="671"/>
      <c r="Y252" s="671"/>
      <c r="Z252" s="673"/>
      <c r="AA252" s="673"/>
      <c r="AB252" s="671"/>
      <c r="AC252" s="669"/>
      <c r="AD252" s="669"/>
      <c r="AE252" s="669"/>
      <c r="AF252" s="669"/>
      <c r="AG252" s="669"/>
      <c r="AH252" s="669"/>
      <c r="AI252" s="669"/>
      <c r="AJ252" s="672"/>
      <c r="AK252" s="673"/>
      <c r="AL252" s="673"/>
      <c r="AM252" s="665"/>
      <c r="AN252" s="665"/>
      <c r="AO252" s="665"/>
      <c r="AP252" s="665"/>
      <c r="AQ252" s="666">
        <v>1309</v>
      </c>
      <c r="AR252" s="666"/>
      <c r="AS252" s="674">
        <v>1454</v>
      </c>
      <c r="AT252" s="674">
        <v>1309</v>
      </c>
      <c r="AU252" s="660"/>
      <c r="AV252" s="660"/>
      <c r="AW252" s="147"/>
      <c r="AX252" s="119"/>
    </row>
    <row r="253" spans="1:50" s="683" customFormat="1" ht="32.25" customHeight="1" x14ac:dyDescent="0.25">
      <c r="A253" s="646" t="s">
        <v>1938</v>
      </c>
      <c r="B253" s="647" t="s">
        <v>1939</v>
      </c>
      <c r="C253" s="464"/>
      <c r="D253" s="464"/>
      <c r="E253" s="613"/>
      <c r="F253" s="464"/>
      <c r="G253" s="664">
        <v>52584</v>
      </c>
      <c r="H253" s="664">
        <v>42042</v>
      </c>
      <c r="I253" s="659"/>
      <c r="J253" s="659"/>
      <c r="K253" s="659"/>
      <c r="L253" s="659"/>
      <c r="M253" s="659"/>
      <c r="N253" s="659"/>
      <c r="O253" s="659"/>
      <c r="P253" s="659"/>
      <c r="Q253" s="659"/>
      <c r="R253" s="659"/>
      <c r="S253" s="659"/>
      <c r="T253" s="659"/>
      <c r="U253" s="659"/>
      <c r="V253" s="659"/>
      <c r="W253" s="659"/>
      <c r="X253" s="664">
        <v>68942</v>
      </c>
      <c r="Y253" s="664">
        <v>68367</v>
      </c>
      <c r="Z253" s="664">
        <v>0</v>
      </c>
      <c r="AA253" s="664">
        <v>0</v>
      </c>
      <c r="AB253" s="664">
        <v>0</v>
      </c>
      <c r="AC253" s="664">
        <v>0</v>
      </c>
      <c r="AD253" s="664">
        <v>0</v>
      </c>
      <c r="AE253" s="664">
        <v>0</v>
      </c>
      <c r="AF253" s="664">
        <v>0</v>
      </c>
      <c r="AG253" s="664">
        <v>0</v>
      </c>
      <c r="AH253" s="664">
        <v>0</v>
      </c>
      <c r="AI253" s="664">
        <v>0</v>
      </c>
      <c r="AJ253" s="664">
        <v>0</v>
      </c>
      <c r="AK253" s="664">
        <v>15516</v>
      </c>
      <c r="AL253" s="664">
        <v>1865</v>
      </c>
      <c r="AM253" s="692">
        <f t="shared" ref="AM253:AV253" si="25">AM254+AM257</f>
        <v>82549</v>
      </c>
      <c r="AN253" s="692">
        <f t="shared" si="25"/>
        <v>82018</v>
      </c>
      <c r="AO253" s="692">
        <f t="shared" si="25"/>
        <v>0</v>
      </c>
      <c r="AP253" s="692">
        <f t="shared" si="25"/>
        <v>0</v>
      </c>
      <c r="AQ253" s="692">
        <f t="shared" si="25"/>
        <v>0</v>
      </c>
      <c r="AR253" s="692">
        <f t="shared" si="25"/>
        <v>0</v>
      </c>
      <c r="AS253" s="692">
        <f t="shared" si="25"/>
        <v>82549</v>
      </c>
      <c r="AT253" s="692">
        <f t="shared" si="25"/>
        <v>82018</v>
      </c>
      <c r="AU253" s="692">
        <f t="shared" si="25"/>
        <v>0</v>
      </c>
      <c r="AV253" s="692">
        <f t="shared" si="25"/>
        <v>0</v>
      </c>
      <c r="AW253" s="682"/>
    </row>
    <row r="254" spans="1:50" ht="63" x14ac:dyDescent="0.25">
      <c r="A254" s="747" t="s">
        <v>108</v>
      </c>
      <c r="B254" s="523" t="s">
        <v>1940</v>
      </c>
      <c r="C254" s="450"/>
      <c r="D254" s="450"/>
      <c r="E254" s="450"/>
      <c r="F254" s="450"/>
      <c r="G254" s="673"/>
      <c r="H254" s="673"/>
      <c r="I254" s="670"/>
      <c r="J254" s="670"/>
      <c r="K254" s="670"/>
      <c r="L254" s="670"/>
      <c r="M254" s="670"/>
      <c r="N254" s="670"/>
      <c r="O254" s="670"/>
      <c r="P254" s="670"/>
      <c r="Q254" s="670"/>
      <c r="R254" s="670"/>
      <c r="S254" s="670"/>
      <c r="T254" s="670"/>
      <c r="U254" s="670"/>
      <c r="V254" s="670"/>
      <c r="W254" s="670"/>
      <c r="X254" s="748">
        <v>3561</v>
      </c>
      <c r="Y254" s="748">
        <v>3561</v>
      </c>
      <c r="Z254" s="748">
        <v>0</v>
      </c>
      <c r="AA254" s="748">
        <v>0</v>
      </c>
      <c r="AB254" s="748">
        <v>0</v>
      </c>
      <c r="AC254" s="748">
        <v>0</v>
      </c>
      <c r="AD254" s="748">
        <v>0</v>
      </c>
      <c r="AE254" s="748">
        <v>0</v>
      </c>
      <c r="AF254" s="748">
        <v>0</v>
      </c>
      <c r="AG254" s="748">
        <v>0</v>
      </c>
      <c r="AH254" s="748">
        <v>0</v>
      </c>
      <c r="AI254" s="748">
        <v>0</v>
      </c>
      <c r="AJ254" s="748">
        <v>0</v>
      </c>
      <c r="AK254" s="748">
        <v>0</v>
      </c>
      <c r="AL254" s="748">
        <v>0</v>
      </c>
      <c r="AM254" s="749">
        <f t="shared" ref="AM254:AV254" si="26">AM255+AM256</f>
        <v>3561</v>
      </c>
      <c r="AN254" s="749">
        <f t="shared" si="26"/>
        <v>3561</v>
      </c>
      <c r="AO254" s="749">
        <f t="shared" si="26"/>
        <v>0</v>
      </c>
      <c r="AP254" s="749">
        <f t="shared" si="26"/>
        <v>0</v>
      </c>
      <c r="AQ254" s="749">
        <f t="shared" si="26"/>
        <v>0</v>
      </c>
      <c r="AR254" s="749">
        <f t="shared" si="26"/>
        <v>0</v>
      </c>
      <c r="AS254" s="749">
        <f t="shared" si="26"/>
        <v>3561</v>
      </c>
      <c r="AT254" s="749">
        <f t="shared" si="26"/>
        <v>3561</v>
      </c>
      <c r="AU254" s="749">
        <f t="shared" si="26"/>
        <v>0</v>
      </c>
      <c r="AV254" s="749">
        <f t="shared" si="26"/>
        <v>0</v>
      </c>
      <c r="AW254" s="147"/>
      <c r="AX254" s="119"/>
    </row>
    <row r="255" spans="1:50" ht="31.5" x14ac:dyDescent="0.25">
      <c r="A255" s="750">
        <v>1</v>
      </c>
      <c r="B255" s="751" t="s">
        <v>1941</v>
      </c>
      <c r="C255" s="450"/>
      <c r="D255" s="450"/>
      <c r="E255" s="450"/>
      <c r="F255" s="450"/>
      <c r="G255" s="673"/>
      <c r="H255" s="673"/>
      <c r="I255" s="670"/>
      <c r="J255" s="670"/>
      <c r="K255" s="670"/>
      <c r="L255" s="670"/>
      <c r="M255" s="670"/>
      <c r="N255" s="670"/>
      <c r="O255" s="670"/>
      <c r="P255" s="670"/>
      <c r="Q255" s="670"/>
      <c r="R255" s="670"/>
      <c r="S255" s="670"/>
      <c r="T255" s="670"/>
      <c r="U255" s="670"/>
      <c r="V255" s="670"/>
      <c r="W255" s="670"/>
      <c r="X255" s="718">
        <v>942</v>
      </c>
      <c r="Y255" s="718">
        <v>942</v>
      </c>
      <c r="Z255" s="673"/>
      <c r="AA255" s="673"/>
      <c r="AB255" s="671"/>
      <c r="AC255" s="669"/>
      <c r="AD255" s="669"/>
      <c r="AE255" s="669"/>
      <c r="AF255" s="669"/>
      <c r="AG255" s="669"/>
      <c r="AH255" s="669"/>
      <c r="AI255" s="669"/>
      <c r="AJ255" s="672"/>
      <c r="AK255" s="673">
        <v>0</v>
      </c>
      <c r="AL255" s="673">
        <v>0</v>
      </c>
      <c r="AM255" s="696">
        <v>942</v>
      </c>
      <c r="AN255" s="696">
        <v>942</v>
      </c>
      <c r="AO255" s="665"/>
      <c r="AP255" s="665"/>
      <c r="AQ255" s="666"/>
      <c r="AR255" s="666"/>
      <c r="AS255" s="674">
        <v>942</v>
      </c>
      <c r="AT255" s="674">
        <v>942</v>
      </c>
      <c r="AU255" s="660"/>
      <c r="AV255" s="660"/>
      <c r="AW255" s="147"/>
      <c r="AX255" s="119"/>
    </row>
    <row r="256" spans="1:50" ht="47.25" x14ac:dyDescent="0.25">
      <c r="A256" s="750">
        <v>2</v>
      </c>
      <c r="B256" s="751" t="s">
        <v>1942</v>
      </c>
      <c r="C256" s="450"/>
      <c r="D256" s="450"/>
      <c r="E256" s="450"/>
      <c r="F256" s="450"/>
      <c r="G256" s="673"/>
      <c r="H256" s="673"/>
      <c r="I256" s="670"/>
      <c r="J256" s="670"/>
      <c r="K256" s="670"/>
      <c r="L256" s="670"/>
      <c r="M256" s="670"/>
      <c r="N256" s="670"/>
      <c r="O256" s="670"/>
      <c r="P256" s="670"/>
      <c r="Q256" s="670"/>
      <c r="R256" s="670"/>
      <c r="S256" s="670"/>
      <c r="T256" s="670"/>
      <c r="U256" s="670"/>
      <c r="V256" s="670"/>
      <c r="W256" s="670"/>
      <c r="X256" s="718">
        <v>2619</v>
      </c>
      <c r="Y256" s="718">
        <v>2619</v>
      </c>
      <c r="Z256" s="673"/>
      <c r="AA256" s="673"/>
      <c r="AB256" s="671"/>
      <c r="AC256" s="669"/>
      <c r="AD256" s="669"/>
      <c r="AE256" s="669"/>
      <c r="AF256" s="669"/>
      <c r="AG256" s="669"/>
      <c r="AH256" s="669"/>
      <c r="AI256" s="669"/>
      <c r="AJ256" s="672"/>
      <c r="AK256" s="673">
        <v>0</v>
      </c>
      <c r="AL256" s="673">
        <v>0</v>
      </c>
      <c r="AM256" s="696">
        <v>2619</v>
      </c>
      <c r="AN256" s="696">
        <v>2619</v>
      </c>
      <c r="AO256" s="665"/>
      <c r="AP256" s="665"/>
      <c r="AQ256" s="666"/>
      <c r="AR256" s="666"/>
      <c r="AS256" s="674">
        <v>2619</v>
      </c>
      <c r="AT256" s="674">
        <v>2619</v>
      </c>
      <c r="AU256" s="660"/>
      <c r="AV256" s="660"/>
      <c r="AW256" s="147"/>
      <c r="AX256" s="119"/>
    </row>
    <row r="257" spans="1:50" ht="63" x14ac:dyDescent="0.25">
      <c r="A257" s="747" t="s">
        <v>108</v>
      </c>
      <c r="B257" s="752" t="s">
        <v>1943</v>
      </c>
      <c r="C257" s="450"/>
      <c r="D257" s="450"/>
      <c r="E257" s="450"/>
      <c r="F257" s="450"/>
      <c r="G257" s="673"/>
      <c r="H257" s="673"/>
      <c r="I257" s="670"/>
      <c r="J257" s="670"/>
      <c r="K257" s="670"/>
      <c r="L257" s="670"/>
      <c r="M257" s="670"/>
      <c r="N257" s="670"/>
      <c r="O257" s="670"/>
      <c r="P257" s="670"/>
      <c r="Q257" s="670"/>
      <c r="R257" s="670"/>
      <c r="S257" s="670"/>
      <c r="T257" s="670"/>
      <c r="U257" s="670"/>
      <c r="V257" s="670"/>
      <c r="W257" s="670"/>
      <c r="X257" s="753">
        <v>65381</v>
      </c>
      <c r="Y257" s="753">
        <v>64806</v>
      </c>
      <c r="Z257" s="753">
        <v>0</v>
      </c>
      <c r="AA257" s="753">
        <v>0</v>
      </c>
      <c r="AB257" s="753">
        <v>0</v>
      </c>
      <c r="AC257" s="753">
        <v>0</v>
      </c>
      <c r="AD257" s="753">
        <v>0</v>
      </c>
      <c r="AE257" s="753">
        <v>0</v>
      </c>
      <c r="AF257" s="753">
        <v>0</v>
      </c>
      <c r="AG257" s="753">
        <v>0</v>
      </c>
      <c r="AH257" s="753">
        <v>0</v>
      </c>
      <c r="AI257" s="753">
        <v>0</v>
      </c>
      <c r="AJ257" s="753">
        <v>0</v>
      </c>
      <c r="AK257" s="753">
        <v>15516</v>
      </c>
      <c r="AL257" s="753">
        <v>1865</v>
      </c>
      <c r="AM257" s="749">
        <f t="shared" ref="AM257:AV257" si="27">SUM(AM258:AM291)</f>
        <v>78988</v>
      </c>
      <c r="AN257" s="749">
        <f t="shared" si="27"/>
        <v>78457</v>
      </c>
      <c r="AO257" s="749">
        <f t="shared" si="27"/>
        <v>0</v>
      </c>
      <c r="AP257" s="749">
        <f t="shared" si="27"/>
        <v>0</v>
      </c>
      <c r="AQ257" s="749">
        <f t="shared" si="27"/>
        <v>0</v>
      </c>
      <c r="AR257" s="749">
        <f t="shared" si="27"/>
        <v>0</v>
      </c>
      <c r="AS257" s="749">
        <f t="shared" si="27"/>
        <v>78988</v>
      </c>
      <c r="AT257" s="749">
        <f t="shared" si="27"/>
        <v>78457</v>
      </c>
      <c r="AU257" s="749">
        <f t="shared" si="27"/>
        <v>0</v>
      </c>
      <c r="AV257" s="749">
        <f t="shared" si="27"/>
        <v>0</v>
      </c>
      <c r="AW257" s="147"/>
      <c r="AX257" s="119"/>
    </row>
    <row r="258" spans="1:50" ht="31.5" x14ac:dyDescent="0.25">
      <c r="A258" s="754">
        <v>1</v>
      </c>
      <c r="B258" s="755" t="s">
        <v>1944</v>
      </c>
      <c r="C258" s="756" t="s">
        <v>1945</v>
      </c>
      <c r="D258" s="637" t="s">
        <v>1946</v>
      </c>
      <c r="E258" s="715" t="s">
        <v>70</v>
      </c>
      <c r="F258" s="450"/>
      <c r="G258" s="673"/>
      <c r="H258" s="673"/>
      <c r="I258" s="670"/>
      <c r="J258" s="670"/>
      <c r="K258" s="670"/>
      <c r="L258" s="670"/>
      <c r="M258" s="670"/>
      <c r="N258" s="670"/>
      <c r="O258" s="670"/>
      <c r="P258" s="670"/>
      <c r="Q258" s="670"/>
      <c r="R258" s="670"/>
      <c r="S258" s="670"/>
      <c r="T258" s="670"/>
      <c r="U258" s="670"/>
      <c r="V258" s="670"/>
      <c r="W258" s="670"/>
      <c r="X258" s="673">
        <v>1500</v>
      </c>
      <c r="Y258" s="673">
        <v>1500</v>
      </c>
      <c r="Z258" s="673"/>
      <c r="AA258" s="673"/>
      <c r="AB258" s="671"/>
      <c r="AC258" s="669"/>
      <c r="AD258" s="669"/>
      <c r="AE258" s="669"/>
      <c r="AF258" s="669"/>
      <c r="AG258" s="669"/>
      <c r="AH258" s="669"/>
      <c r="AI258" s="669"/>
      <c r="AJ258" s="672"/>
      <c r="AK258" s="673"/>
      <c r="AL258" s="673"/>
      <c r="AM258" s="665">
        <v>1500</v>
      </c>
      <c r="AN258" s="665">
        <v>1500</v>
      </c>
      <c r="AO258" s="665"/>
      <c r="AP258" s="665"/>
      <c r="AQ258" s="666"/>
      <c r="AR258" s="666"/>
      <c r="AS258" s="674">
        <v>1500</v>
      </c>
      <c r="AT258" s="674">
        <v>1500</v>
      </c>
      <c r="AU258" s="660"/>
      <c r="AV258" s="660"/>
      <c r="AW258" s="147"/>
      <c r="AX258" s="119"/>
    </row>
    <row r="259" spans="1:50" ht="31.5" x14ac:dyDescent="0.25">
      <c r="A259" s="754">
        <v>2</v>
      </c>
      <c r="B259" s="755" t="s">
        <v>1947</v>
      </c>
      <c r="C259" s="756" t="s">
        <v>1360</v>
      </c>
      <c r="D259" s="637" t="s">
        <v>1948</v>
      </c>
      <c r="E259" s="715" t="s">
        <v>70</v>
      </c>
      <c r="F259" s="450"/>
      <c r="G259" s="673"/>
      <c r="H259" s="673"/>
      <c r="I259" s="670"/>
      <c r="J259" s="670"/>
      <c r="K259" s="670"/>
      <c r="L259" s="670"/>
      <c r="M259" s="670"/>
      <c r="N259" s="670"/>
      <c r="O259" s="670"/>
      <c r="P259" s="670"/>
      <c r="Q259" s="670"/>
      <c r="R259" s="670"/>
      <c r="S259" s="670"/>
      <c r="T259" s="670"/>
      <c r="U259" s="670"/>
      <c r="V259" s="670"/>
      <c r="W259" s="670"/>
      <c r="X259" s="673">
        <v>3000</v>
      </c>
      <c r="Y259" s="673">
        <v>3000</v>
      </c>
      <c r="Z259" s="673"/>
      <c r="AA259" s="673"/>
      <c r="AB259" s="671"/>
      <c r="AC259" s="669"/>
      <c r="AD259" s="669"/>
      <c r="AE259" s="669"/>
      <c r="AF259" s="669"/>
      <c r="AG259" s="669"/>
      <c r="AH259" s="669"/>
      <c r="AI259" s="669"/>
      <c r="AJ259" s="672"/>
      <c r="AK259" s="673"/>
      <c r="AL259" s="673"/>
      <c r="AM259" s="665">
        <v>3000</v>
      </c>
      <c r="AN259" s="665">
        <v>3000</v>
      </c>
      <c r="AO259" s="665"/>
      <c r="AP259" s="665"/>
      <c r="AQ259" s="666"/>
      <c r="AR259" s="666"/>
      <c r="AS259" s="674">
        <v>3000</v>
      </c>
      <c r="AT259" s="674">
        <v>3000</v>
      </c>
      <c r="AU259" s="660"/>
      <c r="AV259" s="660"/>
      <c r="AW259" s="147"/>
      <c r="AX259" s="119"/>
    </row>
    <row r="260" spans="1:50" ht="31.5" x14ac:dyDescent="0.25">
      <c r="A260" s="754">
        <v>3</v>
      </c>
      <c r="B260" s="755" t="s">
        <v>1949</v>
      </c>
      <c r="C260" s="756" t="s">
        <v>1356</v>
      </c>
      <c r="D260" s="637" t="s">
        <v>1950</v>
      </c>
      <c r="E260" s="715" t="s">
        <v>70</v>
      </c>
      <c r="F260" s="450"/>
      <c r="G260" s="673"/>
      <c r="H260" s="673"/>
      <c r="I260" s="670"/>
      <c r="J260" s="670"/>
      <c r="K260" s="670"/>
      <c r="L260" s="670"/>
      <c r="M260" s="670"/>
      <c r="N260" s="670"/>
      <c r="O260" s="670"/>
      <c r="P260" s="670"/>
      <c r="Q260" s="670"/>
      <c r="R260" s="670"/>
      <c r="S260" s="670"/>
      <c r="T260" s="670"/>
      <c r="U260" s="670"/>
      <c r="V260" s="670"/>
      <c r="W260" s="670"/>
      <c r="X260" s="673">
        <v>2000</v>
      </c>
      <c r="Y260" s="673">
        <v>2000</v>
      </c>
      <c r="Z260" s="673"/>
      <c r="AA260" s="673"/>
      <c r="AB260" s="671"/>
      <c r="AC260" s="669"/>
      <c r="AD260" s="669"/>
      <c r="AE260" s="669"/>
      <c r="AF260" s="669"/>
      <c r="AG260" s="669"/>
      <c r="AH260" s="669"/>
      <c r="AI260" s="669"/>
      <c r="AJ260" s="672"/>
      <c r="AK260" s="673"/>
      <c r="AL260" s="673"/>
      <c r="AM260" s="665">
        <v>2000</v>
      </c>
      <c r="AN260" s="665">
        <v>2000</v>
      </c>
      <c r="AO260" s="665"/>
      <c r="AP260" s="665"/>
      <c r="AQ260" s="666"/>
      <c r="AR260" s="666"/>
      <c r="AS260" s="674">
        <v>2000</v>
      </c>
      <c r="AT260" s="674">
        <v>2000</v>
      </c>
      <c r="AU260" s="660"/>
      <c r="AV260" s="660"/>
      <c r="AW260" s="147"/>
      <c r="AX260" s="119"/>
    </row>
    <row r="261" spans="1:50" ht="47.25" x14ac:dyDescent="0.25">
      <c r="A261" s="754">
        <v>4</v>
      </c>
      <c r="B261" s="755" t="s">
        <v>1951</v>
      </c>
      <c r="C261" s="756" t="s">
        <v>81</v>
      </c>
      <c r="D261" s="637" t="s">
        <v>1952</v>
      </c>
      <c r="E261" s="637" t="s">
        <v>70</v>
      </c>
      <c r="F261" s="450"/>
      <c r="G261" s="673"/>
      <c r="H261" s="673"/>
      <c r="I261" s="670"/>
      <c r="J261" s="670"/>
      <c r="K261" s="670"/>
      <c r="L261" s="670"/>
      <c r="M261" s="670"/>
      <c r="N261" s="670"/>
      <c r="O261" s="670"/>
      <c r="P261" s="670"/>
      <c r="Q261" s="670"/>
      <c r="R261" s="670"/>
      <c r="S261" s="670"/>
      <c r="T261" s="670"/>
      <c r="U261" s="670"/>
      <c r="V261" s="670"/>
      <c r="W261" s="670"/>
      <c r="X261" s="673">
        <v>1500</v>
      </c>
      <c r="Y261" s="673">
        <v>1500</v>
      </c>
      <c r="Z261" s="673"/>
      <c r="AA261" s="673"/>
      <c r="AB261" s="671"/>
      <c r="AC261" s="669"/>
      <c r="AD261" s="669"/>
      <c r="AE261" s="669"/>
      <c r="AF261" s="669"/>
      <c r="AG261" s="669"/>
      <c r="AH261" s="669"/>
      <c r="AI261" s="669"/>
      <c r="AJ261" s="672"/>
      <c r="AK261" s="673"/>
      <c r="AL261" s="673"/>
      <c r="AM261" s="665">
        <v>1500</v>
      </c>
      <c r="AN261" s="665">
        <v>1500</v>
      </c>
      <c r="AO261" s="665"/>
      <c r="AP261" s="665"/>
      <c r="AQ261" s="666"/>
      <c r="AR261" s="666"/>
      <c r="AS261" s="674">
        <v>1500</v>
      </c>
      <c r="AT261" s="674">
        <v>1500</v>
      </c>
      <c r="AU261" s="660"/>
      <c r="AV261" s="660"/>
      <c r="AW261" s="147"/>
      <c r="AX261" s="119"/>
    </row>
    <row r="262" spans="1:50" ht="31.5" customHeight="1" x14ac:dyDescent="0.25">
      <c r="A262" s="754">
        <v>5</v>
      </c>
      <c r="B262" s="755" t="s">
        <v>1953</v>
      </c>
      <c r="C262" s="756" t="s">
        <v>82</v>
      </c>
      <c r="D262" s="637"/>
      <c r="E262" s="637" t="s">
        <v>70</v>
      </c>
      <c r="F262" s="450"/>
      <c r="G262" s="673"/>
      <c r="H262" s="673"/>
      <c r="I262" s="670"/>
      <c r="J262" s="670"/>
      <c r="K262" s="670"/>
      <c r="L262" s="670"/>
      <c r="M262" s="670"/>
      <c r="N262" s="670"/>
      <c r="O262" s="670"/>
      <c r="P262" s="670"/>
      <c r="Q262" s="670"/>
      <c r="R262" s="670"/>
      <c r="S262" s="670"/>
      <c r="T262" s="670"/>
      <c r="U262" s="670"/>
      <c r="V262" s="670"/>
      <c r="W262" s="670"/>
      <c r="X262" s="673">
        <v>2500</v>
      </c>
      <c r="Y262" s="673">
        <v>2500</v>
      </c>
      <c r="Z262" s="673"/>
      <c r="AA262" s="673"/>
      <c r="AB262" s="671"/>
      <c r="AC262" s="669"/>
      <c r="AD262" s="669"/>
      <c r="AE262" s="669"/>
      <c r="AF262" s="669"/>
      <c r="AG262" s="669"/>
      <c r="AH262" s="669"/>
      <c r="AI262" s="669"/>
      <c r="AJ262" s="672"/>
      <c r="AK262" s="673"/>
      <c r="AL262" s="673"/>
      <c r="AM262" s="665">
        <v>2500</v>
      </c>
      <c r="AN262" s="665">
        <v>2500</v>
      </c>
      <c r="AO262" s="665"/>
      <c r="AP262" s="665"/>
      <c r="AQ262" s="666"/>
      <c r="AR262" s="666"/>
      <c r="AS262" s="674">
        <v>2500</v>
      </c>
      <c r="AT262" s="674">
        <v>2500</v>
      </c>
      <c r="AU262" s="660"/>
      <c r="AV262" s="660"/>
      <c r="AW262" s="147"/>
      <c r="AX262" s="119"/>
    </row>
    <row r="263" spans="1:50" ht="31.5" x14ac:dyDescent="0.25">
      <c r="A263" s="754">
        <v>6</v>
      </c>
      <c r="B263" s="755" t="s">
        <v>1954</v>
      </c>
      <c r="C263" s="756" t="s">
        <v>1955</v>
      </c>
      <c r="D263" s="637" t="s">
        <v>374</v>
      </c>
      <c r="E263" s="637" t="s">
        <v>70</v>
      </c>
      <c r="F263" s="450"/>
      <c r="G263" s="673"/>
      <c r="H263" s="673"/>
      <c r="I263" s="670"/>
      <c r="J263" s="670"/>
      <c r="K263" s="670"/>
      <c r="L263" s="670"/>
      <c r="M263" s="670"/>
      <c r="N263" s="670"/>
      <c r="O263" s="670"/>
      <c r="P263" s="670"/>
      <c r="Q263" s="670"/>
      <c r="R263" s="670"/>
      <c r="S263" s="670"/>
      <c r="T263" s="670"/>
      <c r="U263" s="670"/>
      <c r="V263" s="670"/>
      <c r="W263" s="670"/>
      <c r="X263" s="673">
        <v>4000</v>
      </c>
      <c r="Y263" s="673">
        <v>4000</v>
      </c>
      <c r="Z263" s="673"/>
      <c r="AA263" s="673"/>
      <c r="AB263" s="671"/>
      <c r="AC263" s="669"/>
      <c r="AD263" s="669"/>
      <c r="AE263" s="669"/>
      <c r="AF263" s="669"/>
      <c r="AG263" s="669"/>
      <c r="AH263" s="669"/>
      <c r="AI263" s="669"/>
      <c r="AJ263" s="672"/>
      <c r="AK263" s="673"/>
      <c r="AL263" s="673"/>
      <c r="AM263" s="665">
        <v>4000</v>
      </c>
      <c r="AN263" s="665">
        <v>4000</v>
      </c>
      <c r="AO263" s="665"/>
      <c r="AP263" s="665"/>
      <c r="AQ263" s="666"/>
      <c r="AR263" s="666"/>
      <c r="AS263" s="674">
        <v>4000</v>
      </c>
      <c r="AT263" s="674">
        <v>4000</v>
      </c>
      <c r="AU263" s="660"/>
      <c r="AV263" s="660"/>
      <c r="AW263" s="147"/>
      <c r="AX263" s="119"/>
    </row>
    <row r="264" spans="1:50" ht="31.5" x14ac:dyDescent="0.25">
      <c r="A264" s="754">
        <v>7</v>
      </c>
      <c r="B264" s="755" t="s">
        <v>1956</v>
      </c>
      <c r="C264" s="756" t="s">
        <v>84</v>
      </c>
      <c r="D264" s="637" t="s">
        <v>1957</v>
      </c>
      <c r="E264" s="637" t="s">
        <v>70</v>
      </c>
      <c r="F264" s="450"/>
      <c r="G264" s="673"/>
      <c r="H264" s="673"/>
      <c r="I264" s="670"/>
      <c r="J264" s="670"/>
      <c r="K264" s="670"/>
      <c r="L264" s="670"/>
      <c r="M264" s="670"/>
      <c r="N264" s="670"/>
      <c r="O264" s="670"/>
      <c r="P264" s="670"/>
      <c r="Q264" s="670"/>
      <c r="R264" s="670"/>
      <c r="S264" s="670"/>
      <c r="T264" s="670"/>
      <c r="U264" s="670"/>
      <c r="V264" s="670"/>
      <c r="W264" s="670"/>
      <c r="X264" s="673">
        <v>2500</v>
      </c>
      <c r="Y264" s="673">
        <v>2500</v>
      </c>
      <c r="Z264" s="673"/>
      <c r="AA264" s="673"/>
      <c r="AB264" s="671"/>
      <c r="AC264" s="669"/>
      <c r="AD264" s="669"/>
      <c r="AE264" s="669"/>
      <c r="AF264" s="669"/>
      <c r="AG264" s="669"/>
      <c r="AH264" s="669"/>
      <c r="AI264" s="669"/>
      <c r="AJ264" s="672"/>
      <c r="AK264" s="673"/>
      <c r="AL264" s="673"/>
      <c r="AM264" s="665">
        <v>2500</v>
      </c>
      <c r="AN264" s="665">
        <v>2500</v>
      </c>
      <c r="AO264" s="665"/>
      <c r="AP264" s="665"/>
      <c r="AQ264" s="666"/>
      <c r="AR264" s="666"/>
      <c r="AS264" s="674">
        <v>2500</v>
      </c>
      <c r="AT264" s="674">
        <v>2500</v>
      </c>
      <c r="AU264" s="660"/>
      <c r="AV264" s="660"/>
      <c r="AW264" s="147"/>
      <c r="AX264" s="119"/>
    </row>
    <row r="265" spans="1:50" ht="31.5" x14ac:dyDescent="0.25">
      <c r="A265" s="754">
        <v>8</v>
      </c>
      <c r="B265" s="755" t="s">
        <v>1958</v>
      </c>
      <c r="C265" s="756" t="s">
        <v>83</v>
      </c>
      <c r="D265" s="637" t="s">
        <v>1959</v>
      </c>
      <c r="E265" s="637" t="s">
        <v>70</v>
      </c>
      <c r="F265" s="450"/>
      <c r="G265" s="673"/>
      <c r="H265" s="673"/>
      <c r="I265" s="670"/>
      <c r="J265" s="670"/>
      <c r="K265" s="670"/>
      <c r="L265" s="670"/>
      <c r="M265" s="670"/>
      <c r="N265" s="670"/>
      <c r="O265" s="670"/>
      <c r="P265" s="670"/>
      <c r="Q265" s="670"/>
      <c r="R265" s="670"/>
      <c r="S265" s="670"/>
      <c r="T265" s="670"/>
      <c r="U265" s="670"/>
      <c r="V265" s="670"/>
      <c r="W265" s="670"/>
      <c r="X265" s="673">
        <v>3500</v>
      </c>
      <c r="Y265" s="673">
        <v>3500</v>
      </c>
      <c r="Z265" s="673"/>
      <c r="AA265" s="673"/>
      <c r="AB265" s="671"/>
      <c r="AC265" s="669"/>
      <c r="AD265" s="669"/>
      <c r="AE265" s="669"/>
      <c r="AF265" s="669"/>
      <c r="AG265" s="669"/>
      <c r="AH265" s="669"/>
      <c r="AI265" s="669"/>
      <c r="AJ265" s="672"/>
      <c r="AK265" s="673"/>
      <c r="AL265" s="673"/>
      <c r="AM265" s="665">
        <v>3500</v>
      </c>
      <c r="AN265" s="665">
        <v>3500</v>
      </c>
      <c r="AO265" s="665"/>
      <c r="AP265" s="665"/>
      <c r="AQ265" s="666"/>
      <c r="AR265" s="666"/>
      <c r="AS265" s="674">
        <v>3500</v>
      </c>
      <c r="AT265" s="674">
        <v>3500</v>
      </c>
      <c r="AU265" s="660"/>
      <c r="AV265" s="660"/>
      <c r="AW265" s="147"/>
      <c r="AX265" s="119"/>
    </row>
    <row r="266" spans="1:50" ht="31.5" x14ac:dyDescent="0.25">
      <c r="A266" s="754">
        <v>9</v>
      </c>
      <c r="B266" s="755" t="s">
        <v>1960</v>
      </c>
      <c r="C266" s="756" t="s">
        <v>1413</v>
      </c>
      <c r="D266" s="637" t="s">
        <v>974</v>
      </c>
      <c r="E266" s="637" t="s">
        <v>70</v>
      </c>
      <c r="F266" s="450"/>
      <c r="G266" s="673"/>
      <c r="H266" s="673"/>
      <c r="I266" s="670"/>
      <c r="J266" s="670"/>
      <c r="K266" s="670"/>
      <c r="L266" s="670"/>
      <c r="M266" s="670"/>
      <c r="N266" s="670"/>
      <c r="O266" s="670"/>
      <c r="P266" s="670"/>
      <c r="Q266" s="670"/>
      <c r="R266" s="670"/>
      <c r="S266" s="670"/>
      <c r="T266" s="670"/>
      <c r="U266" s="670"/>
      <c r="V266" s="670"/>
      <c r="W266" s="670"/>
      <c r="X266" s="673">
        <v>3500</v>
      </c>
      <c r="Y266" s="673">
        <v>3500</v>
      </c>
      <c r="Z266" s="673"/>
      <c r="AA266" s="673"/>
      <c r="AB266" s="671"/>
      <c r="AC266" s="669"/>
      <c r="AD266" s="669"/>
      <c r="AE266" s="669"/>
      <c r="AF266" s="669"/>
      <c r="AG266" s="669"/>
      <c r="AH266" s="669"/>
      <c r="AI266" s="669"/>
      <c r="AJ266" s="672"/>
      <c r="AK266" s="673"/>
      <c r="AL266" s="673"/>
      <c r="AM266" s="665">
        <v>3500</v>
      </c>
      <c r="AN266" s="665">
        <v>3500</v>
      </c>
      <c r="AO266" s="665"/>
      <c r="AP266" s="665"/>
      <c r="AQ266" s="666"/>
      <c r="AR266" s="666"/>
      <c r="AS266" s="674">
        <v>3500</v>
      </c>
      <c r="AT266" s="674">
        <v>3500</v>
      </c>
      <c r="AU266" s="660"/>
      <c r="AV266" s="660"/>
      <c r="AW266" s="147"/>
      <c r="AX266" s="119"/>
    </row>
    <row r="267" spans="1:50" ht="31.5" x14ac:dyDescent="0.25">
      <c r="A267" s="754">
        <v>10</v>
      </c>
      <c r="B267" s="755" t="s">
        <v>1961</v>
      </c>
      <c r="C267" s="756" t="s">
        <v>1394</v>
      </c>
      <c r="D267" s="637" t="s">
        <v>1962</v>
      </c>
      <c r="E267" s="637" t="s">
        <v>70</v>
      </c>
      <c r="F267" s="450"/>
      <c r="G267" s="673"/>
      <c r="H267" s="673"/>
      <c r="I267" s="670"/>
      <c r="J267" s="670"/>
      <c r="K267" s="670"/>
      <c r="L267" s="670"/>
      <c r="M267" s="670"/>
      <c r="N267" s="670"/>
      <c r="O267" s="670"/>
      <c r="P267" s="670"/>
      <c r="Q267" s="670"/>
      <c r="R267" s="670"/>
      <c r="S267" s="670"/>
      <c r="T267" s="670"/>
      <c r="U267" s="670"/>
      <c r="V267" s="670"/>
      <c r="W267" s="670"/>
      <c r="X267" s="673">
        <v>3000</v>
      </c>
      <c r="Y267" s="673">
        <v>3000</v>
      </c>
      <c r="Z267" s="673"/>
      <c r="AA267" s="673"/>
      <c r="AB267" s="671"/>
      <c r="AC267" s="669"/>
      <c r="AD267" s="669"/>
      <c r="AE267" s="669"/>
      <c r="AF267" s="669"/>
      <c r="AG267" s="669"/>
      <c r="AH267" s="669"/>
      <c r="AI267" s="669"/>
      <c r="AJ267" s="672"/>
      <c r="AK267" s="673"/>
      <c r="AL267" s="673"/>
      <c r="AM267" s="665">
        <v>3000</v>
      </c>
      <c r="AN267" s="665">
        <v>3000</v>
      </c>
      <c r="AO267" s="665"/>
      <c r="AP267" s="665"/>
      <c r="AQ267" s="666"/>
      <c r="AR267" s="666"/>
      <c r="AS267" s="674">
        <v>3000</v>
      </c>
      <c r="AT267" s="674">
        <v>3000</v>
      </c>
      <c r="AU267" s="660"/>
      <c r="AV267" s="660"/>
      <c r="AW267" s="147"/>
      <c r="AX267" s="119"/>
    </row>
    <row r="268" spans="1:50" ht="31.5" x14ac:dyDescent="0.25">
      <c r="A268" s="754">
        <v>11</v>
      </c>
      <c r="B268" s="755" t="s">
        <v>1963</v>
      </c>
      <c r="C268" s="756" t="s">
        <v>1945</v>
      </c>
      <c r="D268" s="637" t="s">
        <v>1420</v>
      </c>
      <c r="E268" s="637" t="s">
        <v>55</v>
      </c>
      <c r="F268" s="450"/>
      <c r="G268" s="673"/>
      <c r="H268" s="673"/>
      <c r="I268" s="670"/>
      <c r="J268" s="670"/>
      <c r="K268" s="670"/>
      <c r="L268" s="670"/>
      <c r="M268" s="670"/>
      <c r="N268" s="670"/>
      <c r="O268" s="670"/>
      <c r="P268" s="670"/>
      <c r="Q268" s="670"/>
      <c r="R268" s="670"/>
      <c r="S268" s="670"/>
      <c r="T268" s="670"/>
      <c r="U268" s="670"/>
      <c r="V268" s="670"/>
      <c r="W268" s="670"/>
      <c r="X268" s="673">
        <v>1500</v>
      </c>
      <c r="Y268" s="673">
        <v>1485</v>
      </c>
      <c r="Z268" s="673"/>
      <c r="AA268" s="673"/>
      <c r="AB268" s="671"/>
      <c r="AC268" s="669"/>
      <c r="AD268" s="669"/>
      <c r="AE268" s="669"/>
      <c r="AF268" s="669"/>
      <c r="AG268" s="669"/>
      <c r="AH268" s="669"/>
      <c r="AI268" s="669"/>
      <c r="AJ268" s="672"/>
      <c r="AK268" s="673"/>
      <c r="AL268" s="673"/>
      <c r="AM268" s="665">
        <v>1500</v>
      </c>
      <c r="AN268" s="665">
        <v>1485</v>
      </c>
      <c r="AO268" s="665"/>
      <c r="AP268" s="665"/>
      <c r="AQ268" s="666"/>
      <c r="AR268" s="666"/>
      <c r="AS268" s="674">
        <v>1500</v>
      </c>
      <c r="AT268" s="674">
        <v>1485</v>
      </c>
      <c r="AU268" s="660"/>
      <c r="AV268" s="660"/>
      <c r="AW268" s="147"/>
      <c r="AX268" s="119"/>
    </row>
    <row r="269" spans="1:50" ht="31.5" x14ac:dyDescent="0.25">
      <c r="A269" s="754">
        <v>12</v>
      </c>
      <c r="B269" s="755" t="s">
        <v>1964</v>
      </c>
      <c r="C269" s="756" t="s">
        <v>1945</v>
      </c>
      <c r="D269" s="637" t="s">
        <v>1965</v>
      </c>
      <c r="E269" s="637" t="s">
        <v>57</v>
      </c>
      <c r="F269" s="450"/>
      <c r="G269" s="673"/>
      <c r="H269" s="673"/>
      <c r="I269" s="670"/>
      <c r="J269" s="670"/>
      <c r="K269" s="670"/>
      <c r="L269" s="670"/>
      <c r="M269" s="670"/>
      <c r="N269" s="670"/>
      <c r="O269" s="670"/>
      <c r="P269" s="670"/>
      <c r="Q269" s="670"/>
      <c r="R269" s="670"/>
      <c r="S269" s="670"/>
      <c r="T269" s="670"/>
      <c r="U269" s="670"/>
      <c r="V269" s="670"/>
      <c r="W269" s="670"/>
      <c r="X269" s="673">
        <v>1500</v>
      </c>
      <c r="Y269" s="673">
        <v>1485</v>
      </c>
      <c r="Z269" s="673"/>
      <c r="AA269" s="673"/>
      <c r="AB269" s="671"/>
      <c r="AC269" s="669"/>
      <c r="AD269" s="669"/>
      <c r="AE269" s="669"/>
      <c r="AF269" s="669"/>
      <c r="AG269" s="669"/>
      <c r="AH269" s="669"/>
      <c r="AI269" s="669"/>
      <c r="AJ269" s="672"/>
      <c r="AK269" s="673"/>
      <c r="AL269" s="673"/>
      <c r="AM269" s="665">
        <v>1500</v>
      </c>
      <c r="AN269" s="665">
        <v>1485</v>
      </c>
      <c r="AO269" s="665"/>
      <c r="AP269" s="665"/>
      <c r="AQ269" s="666"/>
      <c r="AR269" s="666"/>
      <c r="AS269" s="674">
        <v>1500</v>
      </c>
      <c r="AT269" s="674">
        <v>1485</v>
      </c>
      <c r="AU269" s="660"/>
      <c r="AV269" s="660"/>
      <c r="AW269" s="147"/>
      <c r="AX269" s="119"/>
    </row>
    <row r="270" spans="1:50" ht="31.5" x14ac:dyDescent="0.25">
      <c r="A270" s="754">
        <v>13</v>
      </c>
      <c r="B270" s="755" t="s">
        <v>1966</v>
      </c>
      <c r="C270" s="756" t="s">
        <v>85</v>
      </c>
      <c r="D270" s="637"/>
      <c r="E270" s="637" t="s">
        <v>55</v>
      </c>
      <c r="F270" s="450"/>
      <c r="G270" s="673"/>
      <c r="H270" s="673"/>
      <c r="I270" s="670"/>
      <c r="J270" s="670"/>
      <c r="K270" s="670"/>
      <c r="L270" s="670"/>
      <c r="M270" s="670"/>
      <c r="N270" s="670"/>
      <c r="O270" s="670"/>
      <c r="P270" s="670"/>
      <c r="Q270" s="670"/>
      <c r="R270" s="670"/>
      <c r="S270" s="670"/>
      <c r="T270" s="670"/>
      <c r="U270" s="670"/>
      <c r="V270" s="670"/>
      <c r="W270" s="670"/>
      <c r="X270" s="673">
        <v>1500</v>
      </c>
      <c r="Y270" s="673">
        <v>1485</v>
      </c>
      <c r="Z270" s="673"/>
      <c r="AA270" s="673"/>
      <c r="AB270" s="671"/>
      <c r="AC270" s="669"/>
      <c r="AD270" s="669"/>
      <c r="AE270" s="669"/>
      <c r="AF270" s="669"/>
      <c r="AG270" s="669"/>
      <c r="AH270" s="669"/>
      <c r="AI270" s="669"/>
      <c r="AJ270" s="672"/>
      <c r="AK270" s="673"/>
      <c r="AL270" s="673"/>
      <c r="AM270" s="665">
        <v>1500</v>
      </c>
      <c r="AN270" s="665">
        <v>1485</v>
      </c>
      <c r="AO270" s="665"/>
      <c r="AP270" s="665"/>
      <c r="AQ270" s="666"/>
      <c r="AR270" s="666"/>
      <c r="AS270" s="674">
        <v>1500</v>
      </c>
      <c r="AT270" s="674">
        <v>1485</v>
      </c>
      <c r="AU270" s="660"/>
      <c r="AV270" s="660"/>
      <c r="AW270" s="147"/>
      <c r="AX270" s="119"/>
    </row>
    <row r="271" spans="1:50" ht="47.25" x14ac:dyDescent="0.25">
      <c r="A271" s="754">
        <v>14</v>
      </c>
      <c r="B271" s="755" t="s">
        <v>1967</v>
      </c>
      <c r="C271" s="756" t="s">
        <v>1396</v>
      </c>
      <c r="D271" s="637" t="s">
        <v>1968</v>
      </c>
      <c r="E271" s="637" t="s">
        <v>55</v>
      </c>
      <c r="F271" s="450"/>
      <c r="G271" s="673"/>
      <c r="H271" s="673"/>
      <c r="I271" s="670"/>
      <c r="J271" s="670"/>
      <c r="K271" s="670"/>
      <c r="L271" s="670"/>
      <c r="M271" s="670"/>
      <c r="N271" s="670"/>
      <c r="O271" s="670"/>
      <c r="P271" s="670"/>
      <c r="Q271" s="670"/>
      <c r="R271" s="670"/>
      <c r="S271" s="670"/>
      <c r="T271" s="670"/>
      <c r="U271" s="670"/>
      <c r="V271" s="670"/>
      <c r="W271" s="670"/>
      <c r="X271" s="673">
        <v>2500</v>
      </c>
      <c r="Y271" s="673">
        <v>2475</v>
      </c>
      <c r="Z271" s="673"/>
      <c r="AA271" s="673"/>
      <c r="AB271" s="671"/>
      <c r="AC271" s="669"/>
      <c r="AD271" s="669"/>
      <c r="AE271" s="669"/>
      <c r="AF271" s="669"/>
      <c r="AG271" s="669"/>
      <c r="AH271" s="669"/>
      <c r="AI271" s="669"/>
      <c r="AJ271" s="672"/>
      <c r="AK271" s="673"/>
      <c r="AL271" s="673"/>
      <c r="AM271" s="665">
        <v>2500</v>
      </c>
      <c r="AN271" s="665">
        <v>2475</v>
      </c>
      <c r="AO271" s="665"/>
      <c r="AP271" s="665"/>
      <c r="AQ271" s="666"/>
      <c r="AR271" s="666"/>
      <c r="AS271" s="674">
        <v>2500</v>
      </c>
      <c r="AT271" s="674">
        <v>2475</v>
      </c>
      <c r="AU271" s="660"/>
      <c r="AV271" s="660"/>
      <c r="AW271" s="147"/>
      <c r="AX271" s="119"/>
    </row>
    <row r="272" spans="1:50" ht="31.5" x14ac:dyDescent="0.25">
      <c r="A272" s="754">
        <v>15</v>
      </c>
      <c r="B272" s="755" t="s">
        <v>1969</v>
      </c>
      <c r="C272" s="756" t="s">
        <v>79</v>
      </c>
      <c r="D272" s="637" t="s">
        <v>1970</v>
      </c>
      <c r="E272" s="637" t="s">
        <v>55</v>
      </c>
      <c r="F272" s="450"/>
      <c r="G272" s="673"/>
      <c r="H272" s="673"/>
      <c r="I272" s="670"/>
      <c r="J272" s="670"/>
      <c r="K272" s="670"/>
      <c r="L272" s="670"/>
      <c r="M272" s="670"/>
      <c r="N272" s="670"/>
      <c r="O272" s="670"/>
      <c r="P272" s="670"/>
      <c r="Q272" s="670"/>
      <c r="R272" s="670"/>
      <c r="S272" s="670"/>
      <c r="T272" s="670"/>
      <c r="U272" s="670"/>
      <c r="V272" s="670"/>
      <c r="W272" s="670"/>
      <c r="X272" s="673">
        <v>3000</v>
      </c>
      <c r="Y272" s="673">
        <v>2970</v>
      </c>
      <c r="Z272" s="673"/>
      <c r="AA272" s="673"/>
      <c r="AB272" s="671"/>
      <c r="AC272" s="669"/>
      <c r="AD272" s="669"/>
      <c r="AE272" s="669"/>
      <c r="AF272" s="669"/>
      <c r="AG272" s="669"/>
      <c r="AH272" s="669"/>
      <c r="AI272" s="669"/>
      <c r="AJ272" s="672"/>
      <c r="AK272" s="673"/>
      <c r="AL272" s="673"/>
      <c r="AM272" s="665">
        <v>3000</v>
      </c>
      <c r="AN272" s="665">
        <v>2970</v>
      </c>
      <c r="AO272" s="665"/>
      <c r="AP272" s="665"/>
      <c r="AQ272" s="666"/>
      <c r="AR272" s="666"/>
      <c r="AS272" s="674">
        <v>3000</v>
      </c>
      <c r="AT272" s="674">
        <v>2970</v>
      </c>
      <c r="AU272" s="660"/>
      <c r="AV272" s="660"/>
      <c r="AW272" s="147"/>
      <c r="AX272" s="119"/>
    </row>
    <row r="273" spans="1:50" ht="47.25" x14ac:dyDescent="0.25">
      <c r="A273" s="754">
        <v>16</v>
      </c>
      <c r="B273" s="755" t="s">
        <v>1971</v>
      </c>
      <c r="C273" s="756" t="s">
        <v>84</v>
      </c>
      <c r="D273" s="637" t="s">
        <v>374</v>
      </c>
      <c r="E273" s="757" t="s">
        <v>933</v>
      </c>
      <c r="F273" s="450"/>
      <c r="G273" s="673"/>
      <c r="H273" s="673"/>
      <c r="I273" s="670"/>
      <c r="J273" s="670"/>
      <c r="K273" s="670"/>
      <c r="L273" s="670"/>
      <c r="M273" s="670"/>
      <c r="N273" s="670"/>
      <c r="O273" s="670"/>
      <c r="P273" s="670"/>
      <c r="Q273" s="670"/>
      <c r="R273" s="670"/>
      <c r="S273" s="670"/>
      <c r="T273" s="670"/>
      <c r="U273" s="670"/>
      <c r="V273" s="670"/>
      <c r="W273" s="670"/>
      <c r="X273" s="673">
        <v>2500</v>
      </c>
      <c r="Y273" s="673">
        <v>2475</v>
      </c>
      <c r="Z273" s="673"/>
      <c r="AA273" s="673"/>
      <c r="AB273" s="671"/>
      <c r="AC273" s="669"/>
      <c r="AD273" s="669"/>
      <c r="AE273" s="669"/>
      <c r="AF273" s="669"/>
      <c r="AG273" s="669"/>
      <c r="AH273" s="669"/>
      <c r="AI273" s="669"/>
      <c r="AJ273" s="672"/>
      <c r="AK273" s="673"/>
      <c r="AL273" s="673"/>
      <c r="AM273" s="665">
        <v>2500</v>
      </c>
      <c r="AN273" s="665">
        <v>2475</v>
      </c>
      <c r="AO273" s="665"/>
      <c r="AP273" s="665"/>
      <c r="AQ273" s="666"/>
      <c r="AR273" s="666"/>
      <c r="AS273" s="674">
        <v>2500</v>
      </c>
      <c r="AT273" s="674">
        <v>2475</v>
      </c>
      <c r="AU273" s="660"/>
      <c r="AV273" s="660"/>
      <c r="AW273" s="147"/>
      <c r="AX273" s="119"/>
    </row>
    <row r="274" spans="1:50" ht="31.5" x14ac:dyDescent="0.25">
      <c r="A274" s="754">
        <v>17</v>
      </c>
      <c r="B274" s="755" t="s">
        <v>1972</v>
      </c>
      <c r="C274" s="756" t="s">
        <v>1955</v>
      </c>
      <c r="D274" s="637" t="s">
        <v>1973</v>
      </c>
      <c r="E274" s="757" t="s">
        <v>61</v>
      </c>
      <c r="F274" s="450"/>
      <c r="G274" s="673"/>
      <c r="H274" s="673"/>
      <c r="I274" s="670"/>
      <c r="J274" s="670"/>
      <c r="K274" s="670"/>
      <c r="L274" s="670"/>
      <c r="M274" s="670"/>
      <c r="N274" s="670"/>
      <c r="O274" s="670"/>
      <c r="P274" s="670"/>
      <c r="Q274" s="670"/>
      <c r="R274" s="670"/>
      <c r="S274" s="670"/>
      <c r="T274" s="670"/>
      <c r="U274" s="670"/>
      <c r="V274" s="670"/>
      <c r="W274" s="670"/>
      <c r="X274" s="673">
        <v>2750</v>
      </c>
      <c r="Y274" s="673">
        <v>2750</v>
      </c>
      <c r="Z274" s="673"/>
      <c r="AA274" s="673"/>
      <c r="AB274" s="671"/>
      <c r="AC274" s="669"/>
      <c r="AD274" s="669"/>
      <c r="AE274" s="669"/>
      <c r="AF274" s="669"/>
      <c r="AG274" s="669"/>
      <c r="AH274" s="669"/>
      <c r="AI274" s="669"/>
      <c r="AJ274" s="672"/>
      <c r="AK274" s="673"/>
      <c r="AL274" s="673"/>
      <c r="AM274" s="665">
        <v>2780</v>
      </c>
      <c r="AN274" s="665">
        <v>2750</v>
      </c>
      <c r="AO274" s="665"/>
      <c r="AP274" s="665"/>
      <c r="AQ274" s="666"/>
      <c r="AR274" s="666"/>
      <c r="AS274" s="674">
        <v>2780</v>
      </c>
      <c r="AT274" s="674">
        <v>2750</v>
      </c>
      <c r="AU274" s="660"/>
      <c r="AV274" s="660"/>
      <c r="AW274" s="147">
        <v>1713</v>
      </c>
      <c r="AX274" s="119">
        <v>963</v>
      </c>
    </row>
    <row r="275" spans="1:50" ht="31.5" x14ac:dyDescent="0.25">
      <c r="A275" s="754">
        <v>18</v>
      </c>
      <c r="B275" s="755" t="s">
        <v>1974</v>
      </c>
      <c r="C275" s="756" t="s">
        <v>85</v>
      </c>
      <c r="D275" s="637" t="s">
        <v>974</v>
      </c>
      <c r="E275" s="757" t="s">
        <v>61</v>
      </c>
      <c r="F275" s="450"/>
      <c r="G275" s="673"/>
      <c r="H275" s="673"/>
      <c r="I275" s="670"/>
      <c r="J275" s="670"/>
      <c r="K275" s="670"/>
      <c r="L275" s="670"/>
      <c r="M275" s="670"/>
      <c r="N275" s="670"/>
      <c r="O275" s="670"/>
      <c r="P275" s="670"/>
      <c r="Q275" s="670"/>
      <c r="R275" s="670"/>
      <c r="S275" s="670"/>
      <c r="T275" s="670"/>
      <c r="U275" s="670"/>
      <c r="V275" s="670"/>
      <c r="W275" s="670"/>
      <c r="X275" s="673">
        <v>2400</v>
      </c>
      <c r="Y275" s="673">
        <v>2350</v>
      </c>
      <c r="Z275" s="673"/>
      <c r="AA275" s="673"/>
      <c r="AB275" s="671"/>
      <c r="AC275" s="669"/>
      <c r="AD275" s="669"/>
      <c r="AE275" s="669"/>
      <c r="AF275" s="669"/>
      <c r="AG275" s="669"/>
      <c r="AH275" s="669"/>
      <c r="AI275" s="669"/>
      <c r="AJ275" s="672"/>
      <c r="AK275" s="673">
        <v>25</v>
      </c>
      <c r="AL275" s="673"/>
      <c r="AM275" s="665">
        <v>2400</v>
      </c>
      <c r="AN275" s="665">
        <v>2375</v>
      </c>
      <c r="AO275" s="665"/>
      <c r="AP275" s="665"/>
      <c r="AQ275" s="666"/>
      <c r="AR275" s="666"/>
      <c r="AS275" s="674">
        <v>2400</v>
      </c>
      <c r="AT275" s="674">
        <v>2375</v>
      </c>
      <c r="AU275" s="660"/>
      <c r="AV275" s="660"/>
      <c r="AW275" s="147">
        <v>1538</v>
      </c>
      <c r="AX275" s="119"/>
    </row>
    <row r="276" spans="1:50" ht="47.25" x14ac:dyDescent="0.25">
      <c r="A276" s="754">
        <v>19</v>
      </c>
      <c r="B276" s="755" t="s">
        <v>1975</v>
      </c>
      <c r="C276" s="756" t="s">
        <v>1396</v>
      </c>
      <c r="D276" s="637" t="s">
        <v>1976</v>
      </c>
      <c r="E276" s="757" t="s">
        <v>61</v>
      </c>
      <c r="F276" s="450"/>
      <c r="G276" s="673"/>
      <c r="H276" s="673"/>
      <c r="I276" s="670"/>
      <c r="J276" s="670"/>
      <c r="K276" s="670"/>
      <c r="L276" s="670"/>
      <c r="M276" s="670"/>
      <c r="N276" s="670"/>
      <c r="O276" s="670"/>
      <c r="P276" s="670"/>
      <c r="Q276" s="670"/>
      <c r="R276" s="670"/>
      <c r="S276" s="670"/>
      <c r="T276" s="670"/>
      <c r="U276" s="670"/>
      <c r="V276" s="670"/>
      <c r="W276" s="670"/>
      <c r="X276" s="673">
        <v>1900</v>
      </c>
      <c r="Y276" s="673">
        <v>1850</v>
      </c>
      <c r="Z276" s="673"/>
      <c r="AA276" s="673"/>
      <c r="AB276" s="671"/>
      <c r="AC276" s="669"/>
      <c r="AD276" s="669"/>
      <c r="AE276" s="669"/>
      <c r="AF276" s="669"/>
      <c r="AG276" s="669"/>
      <c r="AH276" s="669"/>
      <c r="AI276" s="669"/>
      <c r="AJ276" s="672"/>
      <c r="AK276" s="673">
        <v>425</v>
      </c>
      <c r="AL276" s="673"/>
      <c r="AM276" s="665">
        <v>2300</v>
      </c>
      <c r="AN276" s="665">
        <v>2275</v>
      </c>
      <c r="AO276" s="665"/>
      <c r="AP276" s="665"/>
      <c r="AQ276" s="666"/>
      <c r="AR276" s="666"/>
      <c r="AS276" s="674">
        <v>2300</v>
      </c>
      <c r="AT276" s="674">
        <v>2275</v>
      </c>
      <c r="AU276" s="660"/>
      <c r="AV276" s="660"/>
      <c r="AW276" s="147"/>
      <c r="AX276" s="119"/>
    </row>
    <row r="277" spans="1:50" ht="31.5" x14ac:dyDescent="0.25">
      <c r="A277" s="754">
        <v>20</v>
      </c>
      <c r="B277" s="755" t="s">
        <v>1977</v>
      </c>
      <c r="C277" s="756" t="s">
        <v>1360</v>
      </c>
      <c r="D277" s="637" t="s">
        <v>1978</v>
      </c>
      <c r="E277" s="757" t="s">
        <v>61</v>
      </c>
      <c r="F277" s="450"/>
      <c r="G277" s="673"/>
      <c r="H277" s="673"/>
      <c r="I277" s="670"/>
      <c r="J277" s="670"/>
      <c r="K277" s="670"/>
      <c r="L277" s="670"/>
      <c r="M277" s="670"/>
      <c r="N277" s="670"/>
      <c r="O277" s="670"/>
      <c r="P277" s="670"/>
      <c r="Q277" s="670"/>
      <c r="R277" s="670"/>
      <c r="S277" s="670"/>
      <c r="T277" s="670"/>
      <c r="U277" s="670"/>
      <c r="V277" s="670"/>
      <c r="W277" s="670"/>
      <c r="X277" s="673">
        <v>3300</v>
      </c>
      <c r="Y277" s="673">
        <v>3250</v>
      </c>
      <c r="Z277" s="673"/>
      <c r="AA277" s="673"/>
      <c r="AB277" s="671"/>
      <c r="AC277" s="669"/>
      <c r="AD277" s="669"/>
      <c r="AE277" s="669"/>
      <c r="AF277" s="669"/>
      <c r="AG277" s="669"/>
      <c r="AH277" s="669"/>
      <c r="AI277" s="669"/>
      <c r="AJ277" s="672"/>
      <c r="AK277" s="673">
        <v>215</v>
      </c>
      <c r="AL277" s="673"/>
      <c r="AM277" s="665">
        <v>3500</v>
      </c>
      <c r="AN277" s="665">
        <v>3465</v>
      </c>
      <c r="AO277" s="665"/>
      <c r="AP277" s="665"/>
      <c r="AQ277" s="666"/>
      <c r="AR277" s="666"/>
      <c r="AS277" s="674">
        <v>3500</v>
      </c>
      <c r="AT277" s="674">
        <v>3465</v>
      </c>
      <c r="AU277" s="660"/>
      <c r="AV277" s="660"/>
      <c r="AW277" s="147"/>
      <c r="AX277" s="119"/>
    </row>
    <row r="278" spans="1:50" ht="31.5" x14ac:dyDescent="0.25">
      <c r="A278" s="754">
        <v>21</v>
      </c>
      <c r="B278" s="755" t="s">
        <v>1979</v>
      </c>
      <c r="C278" s="756" t="s">
        <v>79</v>
      </c>
      <c r="D278" s="637" t="s">
        <v>1420</v>
      </c>
      <c r="E278" s="757" t="s">
        <v>61</v>
      </c>
      <c r="F278" s="450"/>
      <c r="G278" s="673"/>
      <c r="H278" s="673"/>
      <c r="I278" s="670"/>
      <c r="J278" s="670"/>
      <c r="K278" s="670"/>
      <c r="L278" s="670"/>
      <c r="M278" s="670"/>
      <c r="N278" s="670"/>
      <c r="O278" s="670"/>
      <c r="P278" s="670"/>
      <c r="Q278" s="670"/>
      <c r="R278" s="670"/>
      <c r="S278" s="670"/>
      <c r="T278" s="670"/>
      <c r="U278" s="670"/>
      <c r="V278" s="670"/>
      <c r="W278" s="670"/>
      <c r="X278" s="673">
        <v>1000</v>
      </c>
      <c r="Y278" s="673">
        <v>950</v>
      </c>
      <c r="Z278" s="673"/>
      <c r="AA278" s="673"/>
      <c r="AB278" s="671"/>
      <c r="AC278" s="669"/>
      <c r="AD278" s="669"/>
      <c r="AE278" s="669"/>
      <c r="AF278" s="669"/>
      <c r="AG278" s="669"/>
      <c r="AH278" s="669"/>
      <c r="AI278" s="669"/>
      <c r="AJ278" s="672"/>
      <c r="AK278" s="673">
        <v>256</v>
      </c>
      <c r="AL278" s="673"/>
      <c r="AM278" s="665">
        <v>1220</v>
      </c>
      <c r="AN278" s="665">
        <v>1206</v>
      </c>
      <c r="AO278" s="665"/>
      <c r="AP278" s="665"/>
      <c r="AQ278" s="666"/>
      <c r="AR278" s="666"/>
      <c r="AS278" s="674">
        <v>1220</v>
      </c>
      <c r="AT278" s="674">
        <v>1206</v>
      </c>
      <c r="AU278" s="660"/>
      <c r="AV278" s="660"/>
      <c r="AW278" s="147"/>
      <c r="AX278" s="119"/>
    </row>
    <row r="279" spans="1:50" ht="31.5" x14ac:dyDescent="0.25">
      <c r="A279" s="754">
        <v>22</v>
      </c>
      <c r="B279" s="755" t="s">
        <v>1980</v>
      </c>
      <c r="C279" s="756" t="s">
        <v>1356</v>
      </c>
      <c r="D279" s="637" t="s">
        <v>1981</v>
      </c>
      <c r="E279" s="757" t="s">
        <v>61</v>
      </c>
      <c r="F279" s="450"/>
      <c r="G279" s="673"/>
      <c r="H279" s="673"/>
      <c r="I279" s="670"/>
      <c r="J279" s="670"/>
      <c r="K279" s="670"/>
      <c r="L279" s="670"/>
      <c r="M279" s="670"/>
      <c r="N279" s="670"/>
      <c r="O279" s="670"/>
      <c r="P279" s="670"/>
      <c r="Q279" s="670"/>
      <c r="R279" s="670"/>
      <c r="S279" s="670"/>
      <c r="T279" s="670"/>
      <c r="U279" s="670"/>
      <c r="V279" s="670"/>
      <c r="W279" s="670"/>
      <c r="X279" s="673">
        <v>1400</v>
      </c>
      <c r="Y279" s="673">
        <v>1350</v>
      </c>
      <c r="Z279" s="673"/>
      <c r="AA279" s="673"/>
      <c r="AB279" s="671"/>
      <c r="AC279" s="669"/>
      <c r="AD279" s="669"/>
      <c r="AE279" s="669"/>
      <c r="AF279" s="669"/>
      <c r="AG279" s="669"/>
      <c r="AH279" s="669"/>
      <c r="AI279" s="669"/>
      <c r="AJ279" s="672"/>
      <c r="AK279" s="673">
        <v>630</v>
      </c>
      <c r="AL279" s="673"/>
      <c r="AM279" s="665">
        <v>2000</v>
      </c>
      <c r="AN279" s="665">
        <v>1980</v>
      </c>
      <c r="AO279" s="665"/>
      <c r="AP279" s="665"/>
      <c r="AQ279" s="666"/>
      <c r="AR279" s="666"/>
      <c r="AS279" s="674">
        <v>2000</v>
      </c>
      <c r="AT279" s="674">
        <v>1980</v>
      </c>
      <c r="AU279" s="660"/>
      <c r="AV279" s="660"/>
      <c r="AW279" s="147"/>
      <c r="AX279" s="119"/>
    </row>
    <row r="280" spans="1:50" ht="31.5" x14ac:dyDescent="0.25">
      <c r="A280" s="754">
        <v>23</v>
      </c>
      <c r="B280" s="755" t="s">
        <v>1982</v>
      </c>
      <c r="C280" s="756" t="s">
        <v>83</v>
      </c>
      <c r="D280" s="637"/>
      <c r="E280" s="757" t="s">
        <v>61</v>
      </c>
      <c r="F280" s="450"/>
      <c r="G280" s="673"/>
      <c r="H280" s="673"/>
      <c r="I280" s="670"/>
      <c r="J280" s="670"/>
      <c r="K280" s="670"/>
      <c r="L280" s="670"/>
      <c r="M280" s="670"/>
      <c r="N280" s="670"/>
      <c r="O280" s="670"/>
      <c r="P280" s="670"/>
      <c r="Q280" s="670"/>
      <c r="R280" s="670"/>
      <c r="S280" s="670"/>
      <c r="T280" s="670"/>
      <c r="U280" s="670"/>
      <c r="V280" s="670"/>
      <c r="W280" s="670"/>
      <c r="X280" s="673">
        <v>3300</v>
      </c>
      <c r="Y280" s="673">
        <v>3250</v>
      </c>
      <c r="Z280" s="673"/>
      <c r="AA280" s="673"/>
      <c r="AB280" s="671"/>
      <c r="AC280" s="669"/>
      <c r="AD280" s="669"/>
      <c r="AE280" s="669"/>
      <c r="AF280" s="669"/>
      <c r="AG280" s="669"/>
      <c r="AH280" s="669"/>
      <c r="AI280" s="669"/>
      <c r="AJ280" s="672"/>
      <c r="AK280" s="673">
        <v>215</v>
      </c>
      <c r="AL280" s="673"/>
      <c r="AM280" s="665">
        <v>3500</v>
      </c>
      <c r="AN280" s="665">
        <v>3465</v>
      </c>
      <c r="AO280" s="665"/>
      <c r="AP280" s="665"/>
      <c r="AQ280" s="666"/>
      <c r="AR280" s="666"/>
      <c r="AS280" s="674">
        <v>3500</v>
      </c>
      <c r="AT280" s="674">
        <v>3465</v>
      </c>
      <c r="AU280" s="660"/>
      <c r="AV280" s="660"/>
      <c r="AW280" s="147"/>
      <c r="AX280" s="119"/>
    </row>
    <row r="281" spans="1:50" s="14" customFormat="1" ht="31.5" x14ac:dyDescent="0.25">
      <c r="A281" s="754">
        <v>24</v>
      </c>
      <c r="B281" s="755" t="s">
        <v>1983</v>
      </c>
      <c r="C281" s="756" t="s">
        <v>1413</v>
      </c>
      <c r="D281" s="637" t="s">
        <v>374</v>
      </c>
      <c r="E281" s="757" t="s">
        <v>61</v>
      </c>
      <c r="F281" s="450"/>
      <c r="G281" s="673"/>
      <c r="H281" s="673"/>
      <c r="I281" s="670"/>
      <c r="J281" s="670"/>
      <c r="K281" s="670"/>
      <c r="L281" s="670"/>
      <c r="M281" s="670"/>
      <c r="N281" s="670"/>
      <c r="O281" s="670"/>
      <c r="P281" s="670"/>
      <c r="Q281" s="670"/>
      <c r="R281" s="670"/>
      <c r="S281" s="670"/>
      <c r="T281" s="670"/>
      <c r="U281" s="670"/>
      <c r="V281" s="670"/>
      <c r="W281" s="670"/>
      <c r="X281" s="673">
        <v>1400</v>
      </c>
      <c r="Y281" s="673">
        <v>1400</v>
      </c>
      <c r="Z281" s="673"/>
      <c r="AA281" s="673"/>
      <c r="AB281" s="671"/>
      <c r="AC281" s="669"/>
      <c r="AD281" s="669"/>
      <c r="AE281" s="669"/>
      <c r="AF281" s="669"/>
      <c r="AG281" s="669"/>
      <c r="AH281" s="669"/>
      <c r="AI281" s="669"/>
      <c r="AJ281" s="672"/>
      <c r="AK281" s="673"/>
      <c r="AL281" s="673">
        <v>15</v>
      </c>
      <c r="AM281" s="665">
        <v>1400</v>
      </c>
      <c r="AN281" s="665">
        <v>1385</v>
      </c>
      <c r="AO281" s="665"/>
      <c r="AP281" s="665"/>
      <c r="AQ281" s="666"/>
      <c r="AR281" s="666"/>
      <c r="AS281" s="53">
        <v>1400</v>
      </c>
      <c r="AT281" s="53">
        <v>1385</v>
      </c>
      <c r="AU281" s="667"/>
      <c r="AV281" s="667"/>
      <c r="AW281" s="13"/>
    </row>
    <row r="282" spans="1:50" ht="31.5" x14ac:dyDescent="0.25">
      <c r="A282" s="754">
        <v>25</v>
      </c>
      <c r="B282" s="755" t="s">
        <v>1984</v>
      </c>
      <c r="C282" s="756" t="s">
        <v>85</v>
      </c>
      <c r="D282" s="637" t="s">
        <v>1374</v>
      </c>
      <c r="E282" s="757" t="s">
        <v>61</v>
      </c>
      <c r="F282" s="450"/>
      <c r="G282" s="673"/>
      <c r="H282" s="673"/>
      <c r="I282" s="670"/>
      <c r="J282" s="670"/>
      <c r="K282" s="670"/>
      <c r="L282" s="670"/>
      <c r="M282" s="670"/>
      <c r="N282" s="670"/>
      <c r="O282" s="670"/>
      <c r="P282" s="670"/>
      <c r="Q282" s="670"/>
      <c r="R282" s="670"/>
      <c r="S282" s="670"/>
      <c r="T282" s="670"/>
      <c r="U282" s="670"/>
      <c r="V282" s="670"/>
      <c r="W282" s="670"/>
      <c r="X282" s="673">
        <v>2400</v>
      </c>
      <c r="Y282" s="673">
        <v>2350</v>
      </c>
      <c r="Z282" s="673"/>
      <c r="AA282" s="673"/>
      <c r="AB282" s="671"/>
      <c r="AC282" s="669"/>
      <c r="AD282" s="669"/>
      <c r="AE282" s="669"/>
      <c r="AF282" s="669"/>
      <c r="AG282" s="669"/>
      <c r="AH282" s="669"/>
      <c r="AI282" s="669"/>
      <c r="AJ282" s="672"/>
      <c r="AK282" s="673">
        <v>25</v>
      </c>
      <c r="AL282" s="673"/>
      <c r="AM282" s="665">
        <v>2400</v>
      </c>
      <c r="AN282" s="665">
        <v>2375</v>
      </c>
      <c r="AO282" s="665"/>
      <c r="AP282" s="665"/>
      <c r="AQ282" s="666"/>
      <c r="AR282" s="666"/>
      <c r="AS282" s="509">
        <v>2400</v>
      </c>
      <c r="AT282" s="509">
        <v>2375</v>
      </c>
      <c r="AU282" s="694"/>
      <c r="AV282" s="694"/>
      <c r="AW282" s="148"/>
      <c r="AX282" s="119"/>
    </row>
    <row r="283" spans="1:50" ht="47.25" x14ac:dyDescent="0.25">
      <c r="A283" s="754">
        <v>26</v>
      </c>
      <c r="B283" s="755" t="s">
        <v>1985</v>
      </c>
      <c r="C283" s="756" t="s">
        <v>80</v>
      </c>
      <c r="D283" s="637"/>
      <c r="E283" s="757" t="s">
        <v>61</v>
      </c>
      <c r="F283" s="450"/>
      <c r="G283" s="673"/>
      <c r="H283" s="673"/>
      <c r="I283" s="670"/>
      <c r="J283" s="670"/>
      <c r="K283" s="670"/>
      <c r="L283" s="670"/>
      <c r="M283" s="670"/>
      <c r="N283" s="670"/>
      <c r="O283" s="670"/>
      <c r="P283" s="670"/>
      <c r="Q283" s="670"/>
      <c r="R283" s="670"/>
      <c r="S283" s="670"/>
      <c r="T283" s="670"/>
      <c r="U283" s="670"/>
      <c r="V283" s="670"/>
      <c r="W283" s="670"/>
      <c r="X283" s="673">
        <v>1731</v>
      </c>
      <c r="Y283" s="673">
        <v>1731</v>
      </c>
      <c r="Z283" s="673"/>
      <c r="AA283" s="673"/>
      <c r="AB283" s="671"/>
      <c r="AC283" s="669"/>
      <c r="AD283" s="669"/>
      <c r="AE283" s="669"/>
      <c r="AF283" s="669"/>
      <c r="AG283" s="669"/>
      <c r="AH283" s="669"/>
      <c r="AI283" s="669"/>
      <c r="AJ283" s="672"/>
      <c r="AK283" s="673">
        <v>49</v>
      </c>
      <c r="AL283" s="673"/>
      <c r="AM283" s="665">
        <v>1800</v>
      </c>
      <c r="AN283" s="665">
        <v>1780</v>
      </c>
      <c r="AO283" s="665"/>
      <c r="AP283" s="665"/>
      <c r="AQ283" s="666"/>
      <c r="AR283" s="666"/>
      <c r="AS283" s="674">
        <v>1800</v>
      </c>
      <c r="AT283" s="674">
        <v>1780</v>
      </c>
      <c r="AU283" s="660"/>
      <c r="AV283" s="660"/>
      <c r="AW283" s="148"/>
      <c r="AX283" s="119"/>
    </row>
    <row r="284" spans="1:50" ht="31.5" x14ac:dyDescent="0.25">
      <c r="A284" s="754">
        <v>27</v>
      </c>
      <c r="B284" s="755" t="s">
        <v>1986</v>
      </c>
      <c r="C284" s="756" t="s">
        <v>79</v>
      </c>
      <c r="D284" s="758"/>
      <c r="E284" s="757" t="s">
        <v>61</v>
      </c>
      <c r="F284" s="450"/>
      <c r="G284" s="673"/>
      <c r="H284" s="673"/>
      <c r="I284" s="670"/>
      <c r="J284" s="670"/>
      <c r="K284" s="670"/>
      <c r="L284" s="670"/>
      <c r="M284" s="670"/>
      <c r="N284" s="670"/>
      <c r="O284" s="670"/>
      <c r="P284" s="670"/>
      <c r="Q284" s="670"/>
      <c r="R284" s="670"/>
      <c r="S284" s="670"/>
      <c r="T284" s="670"/>
      <c r="U284" s="670"/>
      <c r="V284" s="670"/>
      <c r="W284" s="670"/>
      <c r="X284" s="673">
        <v>2400</v>
      </c>
      <c r="Y284" s="673">
        <v>2350</v>
      </c>
      <c r="Z284" s="673"/>
      <c r="AA284" s="673"/>
      <c r="AB284" s="671"/>
      <c r="AC284" s="669"/>
      <c r="AD284" s="669"/>
      <c r="AE284" s="669"/>
      <c r="AF284" s="669"/>
      <c r="AG284" s="669"/>
      <c r="AH284" s="669"/>
      <c r="AI284" s="669"/>
      <c r="AJ284" s="672"/>
      <c r="AK284" s="673">
        <v>25</v>
      </c>
      <c r="AL284" s="673"/>
      <c r="AM284" s="665">
        <v>2400</v>
      </c>
      <c r="AN284" s="665">
        <v>2375</v>
      </c>
      <c r="AO284" s="665"/>
      <c r="AP284" s="665"/>
      <c r="AQ284" s="666"/>
      <c r="AR284" s="666"/>
      <c r="AS284" s="674">
        <v>2400</v>
      </c>
      <c r="AT284" s="674">
        <v>2375</v>
      </c>
      <c r="AU284" s="660"/>
      <c r="AV284" s="660"/>
      <c r="AW284" s="148"/>
      <c r="AX284" s="119"/>
    </row>
    <row r="285" spans="1:50" ht="31.5" x14ac:dyDescent="0.25">
      <c r="A285" s="448" t="s">
        <v>821</v>
      </c>
      <c r="B285" s="449" t="s">
        <v>1987</v>
      </c>
      <c r="C285" s="756" t="s">
        <v>79</v>
      </c>
      <c r="D285" s="759"/>
      <c r="E285" s="757" t="s">
        <v>61</v>
      </c>
      <c r="F285" s="450"/>
      <c r="G285" s="673"/>
      <c r="H285" s="673"/>
      <c r="I285" s="670"/>
      <c r="J285" s="670"/>
      <c r="K285" s="670"/>
      <c r="L285" s="670"/>
      <c r="M285" s="670"/>
      <c r="N285" s="670"/>
      <c r="O285" s="670"/>
      <c r="P285" s="670"/>
      <c r="Q285" s="670"/>
      <c r="R285" s="670"/>
      <c r="S285" s="670"/>
      <c r="T285" s="670"/>
      <c r="U285" s="670"/>
      <c r="V285" s="670"/>
      <c r="W285" s="670"/>
      <c r="X285" s="671">
        <v>1900</v>
      </c>
      <c r="Y285" s="671">
        <v>1850</v>
      </c>
      <c r="Z285" s="673"/>
      <c r="AA285" s="673"/>
      <c r="AB285" s="671"/>
      <c r="AC285" s="669"/>
      <c r="AD285" s="669"/>
      <c r="AE285" s="669"/>
      <c r="AF285" s="669"/>
      <c r="AG285" s="669"/>
      <c r="AH285" s="669"/>
      <c r="AI285" s="669"/>
      <c r="AJ285" s="672"/>
      <c r="AK285" s="673"/>
      <c r="AL285" s="673">
        <v>1850</v>
      </c>
      <c r="AM285" s="665"/>
      <c r="AN285" s="665"/>
      <c r="AO285" s="665"/>
      <c r="AP285" s="665"/>
      <c r="AQ285" s="666"/>
      <c r="AR285" s="666"/>
      <c r="AS285" s="674"/>
      <c r="AT285" s="674"/>
      <c r="AU285" s="660"/>
      <c r="AV285" s="660"/>
      <c r="AW285" s="643"/>
      <c r="AX285" s="119"/>
    </row>
    <row r="286" spans="1:50" ht="25.5" customHeight="1" x14ac:dyDescent="0.25">
      <c r="A286" s="760" t="s">
        <v>730</v>
      </c>
      <c r="B286" s="523" t="s">
        <v>1988</v>
      </c>
      <c r="C286" s="756"/>
      <c r="D286" s="759"/>
      <c r="E286" s="757"/>
      <c r="F286" s="450"/>
      <c r="G286" s="673"/>
      <c r="H286" s="673"/>
      <c r="I286" s="670"/>
      <c r="J286" s="670"/>
      <c r="K286" s="670"/>
      <c r="L286" s="670"/>
      <c r="M286" s="670"/>
      <c r="N286" s="670"/>
      <c r="O286" s="670"/>
      <c r="P286" s="670"/>
      <c r="Q286" s="670"/>
      <c r="R286" s="670"/>
      <c r="S286" s="670"/>
      <c r="T286" s="670"/>
      <c r="U286" s="670"/>
      <c r="V286" s="670"/>
      <c r="W286" s="670"/>
      <c r="X286" s="673"/>
      <c r="Y286" s="673"/>
      <c r="Z286" s="673"/>
      <c r="AA286" s="673"/>
      <c r="AB286" s="671"/>
      <c r="AC286" s="669"/>
      <c r="AD286" s="669"/>
      <c r="AE286" s="669"/>
      <c r="AF286" s="669"/>
      <c r="AG286" s="669"/>
      <c r="AH286" s="669"/>
      <c r="AI286" s="669"/>
      <c r="AJ286" s="672"/>
      <c r="AK286" s="673"/>
      <c r="AL286" s="673"/>
      <c r="AM286" s="685"/>
      <c r="AN286" s="685"/>
      <c r="AO286" s="665"/>
      <c r="AP286" s="665"/>
      <c r="AQ286" s="666"/>
      <c r="AR286" s="666"/>
      <c r="AS286" s="674"/>
      <c r="AT286" s="674"/>
      <c r="AU286" s="660"/>
      <c r="AV286" s="660"/>
      <c r="AW286" s="643"/>
      <c r="AX286" s="119"/>
    </row>
    <row r="287" spans="1:50" ht="31.5" customHeight="1" x14ac:dyDescent="0.25">
      <c r="A287" s="448" t="s">
        <v>688</v>
      </c>
      <c r="B287" s="449" t="s">
        <v>1989</v>
      </c>
      <c r="C287" s="756" t="s">
        <v>82</v>
      </c>
      <c r="D287" s="637" t="s">
        <v>66</v>
      </c>
      <c r="E287" s="757" t="s">
        <v>61</v>
      </c>
      <c r="F287" s="450"/>
      <c r="G287" s="673"/>
      <c r="H287" s="673"/>
      <c r="I287" s="670"/>
      <c r="J287" s="670"/>
      <c r="K287" s="670"/>
      <c r="L287" s="670"/>
      <c r="M287" s="670"/>
      <c r="N287" s="670"/>
      <c r="O287" s="670"/>
      <c r="P287" s="670"/>
      <c r="Q287" s="670"/>
      <c r="R287" s="670"/>
      <c r="S287" s="670"/>
      <c r="T287" s="670"/>
      <c r="U287" s="670"/>
      <c r="V287" s="670"/>
      <c r="W287" s="670"/>
      <c r="X287" s="673"/>
      <c r="Y287" s="673"/>
      <c r="Z287" s="673"/>
      <c r="AA287" s="673"/>
      <c r="AB287" s="671"/>
      <c r="AC287" s="669"/>
      <c r="AD287" s="669"/>
      <c r="AE287" s="669"/>
      <c r="AF287" s="669"/>
      <c r="AG287" s="669"/>
      <c r="AH287" s="669"/>
      <c r="AI287" s="669"/>
      <c r="AJ287" s="672"/>
      <c r="AK287" s="673">
        <v>1500</v>
      </c>
      <c r="AL287" s="673"/>
      <c r="AM287" s="665">
        <v>1515</v>
      </c>
      <c r="AN287" s="665">
        <v>1500</v>
      </c>
      <c r="AO287" s="665"/>
      <c r="AP287" s="665"/>
      <c r="AQ287" s="666"/>
      <c r="AR287" s="666"/>
      <c r="AS287" s="674">
        <v>1515</v>
      </c>
      <c r="AT287" s="674">
        <v>1500</v>
      </c>
      <c r="AU287" s="660"/>
      <c r="AV287" s="660"/>
      <c r="AW287" s="643"/>
      <c r="AX287" s="119"/>
    </row>
    <row r="288" spans="1:50" ht="31.5" customHeight="1" x14ac:dyDescent="0.25">
      <c r="A288" s="448" t="s">
        <v>693</v>
      </c>
      <c r="B288" s="449" t="s">
        <v>1990</v>
      </c>
      <c r="C288" s="756" t="s">
        <v>82</v>
      </c>
      <c r="D288" s="637" t="s">
        <v>991</v>
      </c>
      <c r="E288" s="757" t="s">
        <v>61</v>
      </c>
      <c r="F288" s="450"/>
      <c r="G288" s="673"/>
      <c r="H288" s="673"/>
      <c r="I288" s="670"/>
      <c r="J288" s="670"/>
      <c r="K288" s="670"/>
      <c r="L288" s="670"/>
      <c r="M288" s="670"/>
      <c r="N288" s="670"/>
      <c r="O288" s="670"/>
      <c r="P288" s="670"/>
      <c r="Q288" s="670"/>
      <c r="R288" s="670"/>
      <c r="S288" s="670"/>
      <c r="T288" s="670"/>
      <c r="U288" s="670"/>
      <c r="V288" s="670"/>
      <c r="W288" s="670"/>
      <c r="X288" s="673"/>
      <c r="Y288" s="673"/>
      <c r="Z288" s="673"/>
      <c r="AA288" s="673"/>
      <c r="AB288" s="671"/>
      <c r="AC288" s="669"/>
      <c r="AD288" s="669"/>
      <c r="AE288" s="669"/>
      <c r="AF288" s="669"/>
      <c r="AG288" s="669"/>
      <c r="AH288" s="669"/>
      <c r="AI288" s="669"/>
      <c r="AJ288" s="672"/>
      <c r="AK288" s="673">
        <v>1200</v>
      </c>
      <c r="AL288" s="673"/>
      <c r="AM288" s="665">
        <v>1212</v>
      </c>
      <c r="AN288" s="665">
        <v>1200</v>
      </c>
      <c r="AO288" s="665"/>
      <c r="AP288" s="665"/>
      <c r="AQ288" s="666"/>
      <c r="AR288" s="666"/>
      <c r="AS288" s="674">
        <v>1212</v>
      </c>
      <c r="AT288" s="674">
        <v>1200</v>
      </c>
      <c r="AU288" s="660"/>
      <c r="AV288" s="660"/>
      <c r="AW288" s="148"/>
      <c r="AX288" s="119"/>
    </row>
    <row r="289" spans="1:51" ht="47.25" x14ac:dyDescent="0.25">
      <c r="A289" s="448" t="s">
        <v>696</v>
      </c>
      <c r="B289" s="449" t="s">
        <v>1991</v>
      </c>
      <c r="C289" s="756" t="s">
        <v>80</v>
      </c>
      <c r="D289" s="637" t="s">
        <v>72</v>
      </c>
      <c r="E289" s="757" t="s">
        <v>61</v>
      </c>
      <c r="F289" s="450"/>
      <c r="G289" s="673"/>
      <c r="H289" s="673"/>
      <c r="I289" s="670"/>
      <c r="J289" s="670"/>
      <c r="K289" s="670"/>
      <c r="L289" s="670"/>
      <c r="M289" s="670"/>
      <c r="N289" s="670"/>
      <c r="O289" s="670"/>
      <c r="P289" s="670"/>
      <c r="Q289" s="670"/>
      <c r="R289" s="670"/>
      <c r="S289" s="670"/>
      <c r="T289" s="670"/>
      <c r="U289" s="670"/>
      <c r="V289" s="670"/>
      <c r="W289" s="670"/>
      <c r="X289" s="673"/>
      <c r="Y289" s="673"/>
      <c r="Z289" s="673"/>
      <c r="AA289" s="673"/>
      <c r="AB289" s="671"/>
      <c r="AC289" s="669"/>
      <c r="AD289" s="669"/>
      <c r="AE289" s="669"/>
      <c r="AF289" s="669"/>
      <c r="AG289" s="669"/>
      <c r="AH289" s="669"/>
      <c r="AI289" s="669"/>
      <c r="AJ289" s="672"/>
      <c r="AK289" s="673">
        <v>4000</v>
      </c>
      <c r="AL289" s="673"/>
      <c r="AM289" s="665">
        <v>4040</v>
      </c>
      <c r="AN289" s="665">
        <v>4000</v>
      </c>
      <c r="AO289" s="665"/>
      <c r="AP289" s="665"/>
      <c r="AQ289" s="666"/>
      <c r="AR289" s="666"/>
      <c r="AS289" s="674">
        <v>4040</v>
      </c>
      <c r="AT289" s="674">
        <v>4000</v>
      </c>
      <c r="AU289" s="660"/>
      <c r="AV289" s="660"/>
      <c r="AW289" s="74"/>
      <c r="AX289" s="119"/>
    </row>
    <row r="290" spans="1:51" ht="47.25" x14ac:dyDescent="0.25">
      <c r="A290" s="448" t="s">
        <v>700</v>
      </c>
      <c r="B290" s="449" t="s">
        <v>1992</v>
      </c>
      <c r="C290" s="756" t="s">
        <v>80</v>
      </c>
      <c r="D290" s="637" t="s">
        <v>72</v>
      </c>
      <c r="E290" s="757" t="s">
        <v>61</v>
      </c>
      <c r="F290" s="450"/>
      <c r="G290" s="673"/>
      <c r="H290" s="673"/>
      <c r="I290" s="670"/>
      <c r="J290" s="670"/>
      <c r="K290" s="670"/>
      <c r="L290" s="670"/>
      <c r="M290" s="670"/>
      <c r="N290" s="670"/>
      <c r="O290" s="670"/>
      <c r="P290" s="670"/>
      <c r="Q290" s="670"/>
      <c r="R290" s="670"/>
      <c r="S290" s="670"/>
      <c r="T290" s="670"/>
      <c r="U290" s="670"/>
      <c r="V290" s="670"/>
      <c r="W290" s="670"/>
      <c r="X290" s="673"/>
      <c r="Y290" s="673"/>
      <c r="Z290" s="673"/>
      <c r="AA290" s="673"/>
      <c r="AB290" s="671"/>
      <c r="AC290" s="669"/>
      <c r="AD290" s="669"/>
      <c r="AE290" s="669"/>
      <c r="AF290" s="669"/>
      <c r="AG290" s="669"/>
      <c r="AH290" s="669"/>
      <c r="AI290" s="669"/>
      <c r="AJ290" s="672"/>
      <c r="AK290" s="673">
        <v>3500</v>
      </c>
      <c r="AL290" s="673"/>
      <c r="AM290" s="665">
        <v>3535</v>
      </c>
      <c r="AN290" s="665">
        <v>3500</v>
      </c>
      <c r="AO290" s="665"/>
      <c r="AP290" s="665"/>
      <c r="AQ290" s="666"/>
      <c r="AR290" s="666"/>
      <c r="AS290" s="388">
        <v>3535</v>
      </c>
      <c r="AT290" s="388">
        <v>3500</v>
      </c>
      <c r="AU290" s="761"/>
      <c r="AV290" s="761"/>
      <c r="AW290" s="147"/>
    </row>
    <row r="291" spans="1:51" ht="47.25" x14ac:dyDescent="0.25">
      <c r="A291" s="448" t="s">
        <v>704</v>
      </c>
      <c r="B291" s="449" t="s">
        <v>1993</v>
      </c>
      <c r="C291" s="756" t="s">
        <v>80</v>
      </c>
      <c r="D291" s="637" t="s">
        <v>72</v>
      </c>
      <c r="E291" s="757" t="s">
        <v>61</v>
      </c>
      <c r="F291" s="450"/>
      <c r="G291" s="673"/>
      <c r="H291" s="673"/>
      <c r="I291" s="670"/>
      <c r="J291" s="670"/>
      <c r="K291" s="670"/>
      <c r="L291" s="670"/>
      <c r="M291" s="670"/>
      <c r="N291" s="670"/>
      <c r="O291" s="670"/>
      <c r="P291" s="670"/>
      <c r="Q291" s="670"/>
      <c r="R291" s="670"/>
      <c r="S291" s="670"/>
      <c r="T291" s="670"/>
      <c r="U291" s="670"/>
      <c r="V291" s="670"/>
      <c r="W291" s="670"/>
      <c r="X291" s="673"/>
      <c r="Y291" s="673"/>
      <c r="Z291" s="673"/>
      <c r="AA291" s="673"/>
      <c r="AB291" s="671"/>
      <c r="AC291" s="669"/>
      <c r="AD291" s="669"/>
      <c r="AE291" s="669"/>
      <c r="AF291" s="669"/>
      <c r="AG291" s="669"/>
      <c r="AH291" s="669"/>
      <c r="AI291" s="669"/>
      <c r="AJ291" s="672"/>
      <c r="AK291" s="673">
        <v>3451</v>
      </c>
      <c r="AL291" s="673"/>
      <c r="AM291" s="665">
        <v>3486</v>
      </c>
      <c r="AN291" s="665">
        <v>3451</v>
      </c>
      <c r="AO291" s="665"/>
      <c r="AP291" s="665"/>
      <c r="AQ291" s="666"/>
      <c r="AR291" s="666"/>
      <c r="AS291" s="388">
        <v>3486</v>
      </c>
      <c r="AT291" s="388">
        <v>3451</v>
      </c>
      <c r="AU291" s="761"/>
      <c r="AV291" s="761"/>
      <c r="AW291" s="147"/>
    </row>
    <row r="292" spans="1:51" ht="27.75" customHeight="1" x14ac:dyDescent="0.25">
      <c r="A292" s="646" t="s">
        <v>1994</v>
      </c>
      <c r="B292" s="647" t="s">
        <v>1995</v>
      </c>
      <c r="C292" s="464"/>
      <c r="D292" s="464"/>
      <c r="E292" s="613"/>
      <c r="F292" s="464"/>
      <c r="G292" s="664">
        <v>744</v>
      </c>
      <c r="H292" s="664">
        <v>600</v>
      </c>
      <c r="I292" s="659"/>
      <c r="J292" s="659"/>
      <c r="K292" s="659"/>
      <c r="L292" s="659"/>
      <c r="M292" s="659"/>
      <c r="N292" s="659"/>
      <c r="O292" s="659"/>
      <c r="P292" s="659"/>
      <c r="Q292" s="659"/>
      <c r="R292" s="659"/>
      <c r="S292" s="659"/>
      <c r="T292" s="659"/>
      <c r="U292" s="659"/>
      <c r="V292" s="659"/>
      <c r="W292" s="659"/>
      <c r="X292" s="658">
        <v>3805</v>
      </c>
      <c r="Y292" s="658">
        <v>3340</v>
      </c>
      <c r="Z292" s="658">
        <v>0</v>
      </c>
      <c r="AA292" s="658">
        <v>0</v>
      </c>
      <c r="AB292" s="658">
        <v>0</v>
      </c>
      <c r="AC292" s="658">
        <v>0</v>
      </c>
      <c r="AD292" s="658">
        <v>0</v>
      </c>
      <c r="AE292" s="658">
        <v>0</v>
      </c>
      <c r="AF292" s="658">
        <v>0</v>
      </c>
      <c r="AG292" s="658">
        <v>0</v>
      </c>
      <c r="AH292" s="658">
        <v>0</v>
      </c>
      <c r="AI292" s="658">
        <v>0</v>
      </c>
      <c r="AJ292" s="658">
        <v>0</v>
      </c>
      <c r="AK292" s="658">
        <v>1916</v>
      </c>
      <c r="AL292" s="658">
        <v>1416</v>
      </c>
      <c r="AM292" s="465">
        <f t="shared" ref="AM292:AV292" si="28">+AM293</f>
        <v>4154</v>
      </c>
      <c r="AN292" s="465">
        <f t="shared" si="28"/>
        <v>3840</v>
      </c>
      <c r="AO292" s="465">
        <f t="shared" si="28"/>
        <v>0</v>
      </c>
      <c r="AP292" s="465">
        <f t="shared" si="28"/>
        <v>0</v>
      </c>
      <c r="AQ292" s="465">
        <f t="shared" si="28"/>
        <v>0</v>
      </c>
      <c r="AR292" s="465">
        <f t="shared" si="28"/>
        <v>0</v>
      </c>
      <c r="AS292" s="465">
        <f t="shared" si="28"/>
        <v>4154</v>
      </c>
      <c r="AT292" s="465">
        <f t="shared" si="28"/>
        <v>3840</v>
      </c>
      <c r="AU292" s="465">
        <f t="shared" si="28"/>
        <v>0</v>
      </c>
      <c r="AV292" s="465">
        <f t="shared" si="28"/>
        <v>0</v>
      </c>
      <c r="AW292" s="147"/>
    </row>
    <row r="293" spans="1:51" ht="63" x14ac:dyDescent="0.25">
      <c r="A293" s="469"/>
      <c r="B293" s="470" t="s">
        <v>1943</v>
      </c>
      <c r="C293" s="471"/>
      <c r="D293" s="471"/>
      <c r="E293" s="471"/>
      <c r="F293" s="450"/>
      <c r="G293" s="673"/>
      <c r="H293" s="673"/>
      <c r="I293" s="670"/>
      <c r="J293" s="670"/>
      <c r="K293" s="670"/>
      <c r="L293" s="670"/>
      <c r="M293" s="670"/>
      <c r="N293" s="670"/>
      <c r="O293" s="670"/>
      <c r="P293" s="670"/>
      <c r="Q293" s="670"/>
      <c r="R293" s="670"/>
      <c r="S293" s="670"/>
      <c r="T293" s="670"/>
      <c r="U293" s="670"/>
      <c r="V293" s="670"/>
      <c r="W293" s="670"/>
      <c r="X293" s="680">
        <v>3805</v>
      </c>
      <c r="Y293" s="680">
        <v>3340</v>
      </c>
      <c r="Z293" s="680">
        <v>0</v>
      </c>
      <c r="AA293" s="680">
        <v>0</v>
      </c>
      <c r="AB293" s="680">
        <v>0</v>
      </c>
      <c r="AC293" s="680">
        <v>0</v>
      </c>
      <c r="AD293" s="680">
        <v>0</v>
      </c>
      <c r="AE293" s="680">
        <v>0</v>
      </c>
      <c r="AF293" s="680">
        <v>0</v>
      </c>
      <c r="AG293" s="680">
        <v>0</v>
      </c>
      <c r="AH293" s="680">
        <v>0</v>
      </c>
      <c r="AI293" s="680">
        <v>0</v>
      </c>
      <c r="AJ293" s="680">
        <v>0</v>
      </c>
      <c r="AK293" s="680">
        <v>1916</v>
      </c>
      <c r="AL293" s="680">
        <v>1416</v>
      </c>
      <c r="AM293" s="472">
        <f t="shared" ref="AM293:AN293" si="29">+SUM(AM294:AM300)</f>
        <v>4154</v>
      </c>
      <c r="AN293" s="472">
        <f t="shared" si="29"/>
        <v>3840</v>
      </c>
      <c r="AO293" s="472">
        <v>0</v>
      </c>
      <c r="AP293" s="472">
        <v>0</v>
      </c>
      <c r="AQ293" s="472"/>
      <c r="AR293" s="472"/>
      <c r="AS293" s="388">
        <v>4154</v>
      </c>
      <c r="AT293" s="388">
        <v>3840</v>
      </c>
      <c r="AU293" s="761"/>
      <c r="AV293" s="761"/>
      <c r="AW293" s="147"/>
    </row>
    <row r="294" spans="1:51" ht="47.25" x14ac:dyDescent="0.25">
      <c r="A294" s="448">
        <v>1</v>
      </c>
      <c r="B294" s="449" t="s">
        <v>1996</v>
      </c>
      <c r="C294" s="450"/>
      <c r="D294" s="450"/>
      <c r="E294" s="450" t="s">
        <v>70</v>
      </c>
      <c r="F294" s="450"/>
      <c r="G294" s="673"/>
      <c r="H294" s="673"/>
      <c r="I294" s="670"/>
      <c r="J294" s="670"/>
      <c r="K294" s="670"/>
      <c r="L294" s="670"/>
      <c r="M294" s="670"/>
      <c r="N294" s="670"/>
      <c r="O294" s="670"/>
      <c r="P294" s="670"/>
      <c r="Q294" s="670"/>
      <c r="R294" s="670"/>
      <c r="S294" s="670"/>
      <c r="T294" s="670"/>
      <c r="U294" s="670"/>
      <c r="V294" s="670"/>
      <c r="W294" s="670"/>
      <c r="X294" s="671">
        <v>455</v>
      </c>
      <c r="Y294" s="671">
        <v>427.5</v>
      </c>
      <c r="Z294" s="673"/>
      <c r="AA294" s="673"/>
      <c r="AB294" s="671"/>
      <c r="AC294" s="669"/>
      <c r="AD294" s="669"/>
      <c r="AE294" s="669"/>
      <c r="AF294" s="669"/>
      <c r="AG294" s="669"/>
      <c r="AH294" s="669"/>
      <c r="AI294" s="669"/>
      <c r="AJ294" s="672"/>
      <c r="AK294" s="673">
        <v>0</v>
      </c>
      <c r="AL294" s="673">
        <v>0</v>
      </c>
      <c r="AM294" s="665">
        <v>455</v>
      </c>
      <c r="AN294" s="665">
        <v>427.5</v>
      </c>
      <c r="AO294" s="665"/>
      <c r="AP294" s="665"/>
      <c r="AQ294" s="666"/>
      <c r="AR294" s="666"/>
      <c r="AS294" s="388">
        <v>455</v>
      </c>
      <c r="AT294" s="388">
        <v>427.5</v>
      </c>
      <c r="AU294" s="761"/>
      <c r="AV294" s="761"/>
      <c r="AW294" s="147"/>
    </row>
    <row r="295" spans="1:51" ht="47.25" x14ac:dyDescent="0.25">
      <c r="A295" s="448">
        <v>2</v>
      </c>
      <c r="B295" s="449" t="s">
        <v>1997</v>
      </c>
      <c r="C295" s="450"/>
      <c r="D295" s="450"/>
      <c r="E295" s="450" t="s">
        <v>1063</v>
      </c>
      <c r="F295" s="450"/>
      <c r="G295" s="673"/>
      <c r="H295" s="673"/>
      <c r="I295" s="670"/>
      <c r="J295" s="670"/>
      <c r="K295" s="670"/>
      <c r="L295" s="670"/>
      <c r="M295" s="670"/>
      <c r="N295" s="670"/>
      <c r="O295" s="670"/>
      <c r="P295" s="670"/>
      <c r="Q295" s="670"/>
      <c r="R295" s="670"/>
      <c r="S295" s="670"/>
      <c r="T295" s="670"/>
      <c r="U295" s="670"/>
      <c r="V295" s="670"/>
      <c r="W295" s="670"/>
      <c r="X295" s="671">
        <v>289</v>
      </c>
      <c r="Y295" s="671">
        <v>212.5</v>
      </c>
      <c r="Z295" s="673"/>
      <c r="AA295" s="673"/>
      <c r="AB295" s="671"/>
      <c r="AC295" s="669"/>
      <c r="AD295" s="669"/>
      <c r="AE295" s="669"/>
      <c r="AF295" s="669"/>
      <c r="AG295" s="669"/>
      <c r="AH295" s="669"/>
      <c r="AI295" s="669"/>
      <c r="AJ295" s="672"/>
      <c r="AK295" s="673">
        <v>0</v>
      </c>
      <c r="AL295" s="673">
        <v>0</v>
      </c>
      <c r="AM295" s="665">
        <v>289</v>
      </c>
      <c r="AN295" s="665">
        <v>212.5</v>
      </c>
      <c r="AO295" s="665"/>
      <c r="AP295" s="665"/>
      <c r="AQ295" s="666"/>
      <c r="AR295" s="666"/>
      <c r="AS295" s="388">
        <v>289</v>
      </c>
      <c r="AT295" s="388">
        <v>212.5</v>
      </c>
      <c r="AU295" s="761"/>
      <c r="AV295" s="761"/>
      <c r="AW295" s="147"/>
    </row>
    <row r="296" spans="1:51" ht="31.5" x14ac:dyDescent="0.25">
      <c r="A296" s="448">
        <v>3</v>
      </c>
      <c r="B296" s="449" t="s">
        <v>1998</v>
      </c>
      <c r="C296" s="450"/>
      <c r="D296" s="450"/>
      <c r="E296" s="450" t="s">
        <v>933</v>
      </c>
      <c r="F296" s="450"/>
      <c r="G296" s="673"/>
      <c r="H296" s="673"/>
      <c r="I296" s="670"/>
      <c r="J296" s="670"/>
      <c r="K296" s="670"/>
      <c r="L296" s="670"/>
      <c r="M296" s="670"/>
      <c r="N296" s="670"/>
      <c r="O296" s="670"/>
      <c r="P296" s="670"/>
      <c r="Q296" s="670"/>
      <c r="R296" s="670"/>
      <c r="S296" s="670"/>
      <c r="T296" s="670"/>
      <c r="U296" s="670"/>
      <c r="V296" s="670"/>
      <c r="W296" s="670"/>
      <c r="X296" s="671">
        <v>700</v>
      </c>
      <c r="Y296" s="671">
        <v>600</v>
      </c>
      <c r="Z296" s="673"/>
      <c r="AA296" s="673"/>
      <c r="AB296" s="671"/>
      <c r="AC296" s="669"/>
      <c r="AD296" s="669"/>
      <c r="AE296" s="669"/>
      <c r="AF296" s="669"/>
      <c r="AG296" s="669"/>
      <c r="AH296" s="669"/>
      <c r="AI296" s="669"/>
      <c r="AJ296" s="672"/>
      <c r="AK296" s="673"/>
      <c r="AL296" s="673">
        <v>600</v>
      </c>
      <c r="AM296" s="665">
        <v>0</v>
      </c>
      <c r="AN296" s="665">
        <v>0</v>
      </c>
      <c r="AO296" s="665"/>
      <c r="AP296" s="665"/>
      <c r="AQ296" s="666"/>
      <c r="AR296" s="666"/>
      <c r="AS296" s="388">
        <v>0</v>
      </c>
      <c r="AT296" s="388">
        <v>0</v>
      </c>
      <c r="AU296" s="761"/>
      <c r="AV296" s="761"/>
      <c r="AW296" s="147"/>
    </row>
    <row r="297" spans="1:51" ht="47.25" x14ac:dyDescent="0.25">
      <c r="A297" s="448">
        <v>4</v>
      </c>
      <c r="B297" s="449" t="s">
        <v>1999</v>
      </c>
      <c r="C297" s="450"/>
      <c r="D297" s="450"/>
      <c r="E297" s="450" t="s">
        <v>61</v>
      </c>
      <c r="F297" s="450"/>
      <c r="G297" s="673"/>
      <c r="H297" s="673"/>
      <c r="I297" s="670"/>
      <c r="J297" s="670"/>
      <c r="K297" s="670"/>
      <c r="L297" s="670"/>
      <c r="M297" s="670"/>
      <c r="N297" s="670"/>
      <c r="O297" s="670"/>
      <c r="P297" s="670"/>
      <c r="Q297" s="670"/>
      <c r="R297" s="670"/>
      <c r="S297" s="670"/>
      <c r="T297" s="670"/>
      <c r="U297" s="670"/>
      <c r="V297" s="670"/>
      <c r="W297" s="670"/>
      <c r="X297" s="671">
        <v>700</v>
      </c>
      <c r="Y297" s="671">
        <v>600</v>
      </c>
      <c r="Z297" s="673"/>
      <c r="AA297" s="673"/>
      <c r="AB297" s="671"/>
      <c r="AC297" s="669"/>
      <c r="AD297" s="669"/>
      <c r="AE297" s="669"/>
      <c r="AF297" s="669"/>
      <c r="AG297" s="669"/>
      <c r="AH297" s="669"/>
      <c r="AI297" s="669"/>
      <c r="AJ297" s="672"/>
      <c r="AK297" s="673"/>
      <c r="AL297" s="673">
        <v>600</v>
      </c>
      <c r="AM297" s="665">
        <v>0</v>
      </c>
      <c r="AN297" s="665">
        <v>0</v>
      </c>
      <c r="AO297" s="665"/>
      <c r="AP297" s="665"/>
      <c r="AQ297" s="666"/>
      <c r="AR297" s="666"/>
      <c r="AS297" s="388">
        <v>0</v>
      </c>
      <c r="AT297" s="388">
        <v>0</v>
      </c>
      <c r="AU297" s="761"/>
      <c r="AV297" s="761"/>
      <c r="AW297" s="147"/>
    </row>
    <row r="298" spans="1:51" ht="31.5" x14ac:dyDescent="0.25">
      <c r="A298" s="448">
        <v>5</v>
      </c>
      <c r="B298" s="449" t="s">
        <v>2000</v>
      </c>
      <c r="C298" s="450"/>
      <c r="D298" s="450"/>
      <c r="E298" s="450" t="s">
        <v>55</v>
      </c>
      <c r="F298" s="450"/>
      <c r="G298" s="673"/>
      <c r="H298" s="673"/>
      <c r="I298" s="670"/>
      <c r="J298" s="670"/>
      <c r="K298" s="670"/>
      <c r="L298" s="670"/>
      <c r="M298" s="670"/>
      <c r="N298" s="670"/>
      <c r="O298" s="670"/>
      <c r="P298" s="670"/>
      <c r="Q298" s="670"/>
      <c r="R298" s="670"/>
      <c r="S298" s="670"/>
      <c r="T298" s="670"/>
      <c r="U298" s="670"/>
      <c r="V298" s="670"/>
      <c r="W298" s="670"/>
      <c r="X298" s="671">
        <v>1661</v>
      </c>
      <c r="Y298" s="671">
        <v>1500</v>
      </c>
      <c r="Z298" s="673"/>
      <c r="AA298" s="673"/>
      <c r="AB298" s="671"/>
      <c r="AC298" s="669"/>
      <c r="AD298" s="669"/>
      <c r="AE298" s="669"/>
      <c r="AF298" s="669"/>
      <c r="AG298" s="669"/>
      <c r="AH298" s="669"/>
      <c r="AI298" s="669"/>
      <c r="AJ298" s="672"/>
      <c r="AK298" s="673"/>
      <c r="AL298" s="673">
        <v>216</v>
      </c>
      <c r="AM298" s="665">
        <v>1434</v>
      </c>
      <c r="AN298" s="665">
        <v>1284</v>
      </c>
      <c r="AO298" s="665"/>
      <c r="AP298" s="665"/>
      <c r="AQ298" s="666"/>
      <c r="AR298" s="666"/>
      <c r="AS298" s="388">
        <v>1434</v>
      </c>
      <c r="AT298" s="388">
        <v>1284</v>
      </c>
      <c r="AU298" s="761"/>
      <c r="AV298" s="761"/>
      <c r="AW298" s="147"/>
    </row>
    <row r="299" spans="1:51" ht="30" customHeight="1" x14ac:dyDescent="0.25">
      <c r="A299" s="760" t="s">
        <v>730</v>
      </c>
      <c r="B299" s="444" t="s">
        <v>1935</v>
      </c>
      <c r="C299" s="450"/>
      <c r="D299" s="450"/>
      <c r="E299" s="450"/>
      <c r="F299" s="450"/>
      <c r="G299" s="673"/>
      <c r="H299" s="673"/>
      <c r="I299" s="670"/>
      <c r="J299" s="670"/>
      <c r="K299" s="670"/>
      <c r="L299" s="670"/>
      <c r="M299" s="670"/>
      <c r="N299" s="670"/>
      <c r="O299" s="670"/>
      <c r="P299" s="670"/>
      <c r="Q299" s="670"/>
      <c r="R299" s="670"/>
      <c r="S299" s="670"/>
      <c r="T299" s="670"/>
      <c r="U299" s="670"/>
      <c r="V299" s="670"/>
      <c r="W299" s="670"/>
      <c r="X299" s="671"/>
      <c r="Y299" s="671"/>
      <c r="Z299" s="673"/>
      <c r="AA299" s="673"/>
      <c r="AB299" s="671"/>
      <c r="AC299" s="669"/>
      <c r="AD299" s="669"/>
      <c r="AE299" s="669"/>
      <c r="AF299" s="669"/>
      <c r="AG299" s="669"/>
      <c r="AH299" s="669"/>
      <c r="AI299" s="669"/>
      <c r="AJ299" s="672"/>
      <c r="AK299" s="673"/>
      <c r="AL299" s="673"/>
      <c r="AM299" s="665"/>
      <c r="AN299" s="665"/>
      <c r="AO299" s="665"/>
      <c r="AP299" s="665"/>
      <c r="AQ299" s="666"/>
      <c r="AR299" s="666"/>
      <c r="AS299" s="388"/>
      <c r="AT299" s="388"/>
      <c r="AU299" s="761"/>
      <c r="AV299" s="761"/>
      <c r="AW299" s="147"/>
    </row>
    <row r="300" spans="1:51" ht="31.5" x14ac:dyDescent="0.25">
      <c r="A300" s="448"/>
      <c r="B300" s="449" t="s">
        <v>2001</v>
      </c>
      <c r="C300" s="450"/>
      <c r="D300" s="450"/>
      <c r="E300" s="450" t="s">
        <v>61</v>
      </c>
      <c r="F300" s="450"/>
      <c r="G300" s="673"/>
      <c r="H300" s="673"/>
      <c r="I300" s="670"/>
      <c r="J300" s="670"/>
      <c r="K300" s="670"/>
      <c r="L300" s="670"/>
      <c r="M300" s="670"/>
      <c r="N300" s="670"/>
      <c r="O300" s="670"/>
      <c r="P300" s="670"/>
      <c r="Q300" s="670"/>
      <c r="R300" s="670"/>
      <c r="S300" s="670"/>
      <c r="T300" s="670"/>
      <c r="U300" s="670"/>
      <c r="V300" s="670"/>
      <c r="W300" s="670"/>
      <c r="X300" s="671"/>
      <c r="Y300" s="671"/>
      <c r="Z300" s="673"/>
      <c r="AA300" s="673"/>
      <c r="AB300" s="671"/>
      <c r="AC300" s="669"/>
      <c r="AD300" s="669"/>
      <c r="AE300" s="669"/>
      <c r="AF300" s="669"/>
      <c r="AG300" s="669"/>
      <c r="AH300" s="669"/>
      <c r="AI300" s="669"/>
      <c r="AJ300" s="672"/>
      <c r="AK300" s="673">
        <v>1916</v>
      </c>
      <c r="AL300" s="673"/>
      <c r="AM300" s="665">
        <v>1976</v>
      </c>
      <c r="AN300" s="665">
        <v>1916</v>
      </c>
      <c r="AO300" s="665"/>
      <c r="AP300" s="665"/>
      <c r="AQ300" s="666"/>
      <c r="AR300" s="666"/>
      <c r="AS300" s="388">
        <v>1976</v>
      </c>
      <c r="AT300" s="388">
        <v>1916</v>
      </c>
      <c r="AU300" s="761"/>
      <c r="AV300" s="761"/>
      <c r="AW300" s="147"/>
    </row>
    <row r="301" spans="1:51" s="771" customFormat="1" ht="47.25" x14ac:dyDescent="0.25">
      <c r="A301" s="762" t="s">
        <v>2002</v>
      </c>
      <c r="B301" s="763" t="s">
        <v>2003</v>
      </c>
      <c r="C301" s="764"/>
      <c r="D301" s="764"/>
      <c r="E301" s="765"/>
      <c r="F301" s="766"/>
      <c r="G301" s="767"/>
      <c r="H301" s="767"/>
      <c r="I301" s="767"/>
      <c r="J301" s="767"/>
      <c r="K301" s="767"/>
      <c r="L301" s="767"/>
      <c r="M301" s="767"/>
      <c r="N301" s="767"/>
      <c r="O301" s="767"/>
      <c r="P301" s="767"/>
      <c r="Q301" s="767"/>
      <c r="R301" s="767"/>
      <c r="S301" s="767"/>
      <c r="T301" s="767"/>
      <c r="U301" s="767"/>
      <c r="V301" s="767"/>
      <c r="W301" s="767"/>
      <c r="X301" s="767"/>
      <c r="Y301" s="767"/>
      <c r="Z301" s="767"/>
      <c r="AA301" s="767"/>
      <c r="AB301" s="767"/>
      <c r="AC301" s="767"/>
      <c r="AD301" s="767"/>
      <c r="AE301" s="767"/>
      <c r="AF301" s="767"/>
      <c r="AG301" s="767"/>
      <c r="AH301" s="767"/>
      <c r="AI301" s="767"/>
      <c r="AJ301" s="767"/>
      <c r="AK301" s="767"/>
      <c r="AL301" s="767"/>
      <c r="AM301" s="768"/>
      <c r="AN301" s="768"/>
      <c r="AO301" s="768">
        <f t="shared" ref="AO301:AV301" si="30">AO302+AO307+AO309+AO313+AO316+AO319+AO338+AO341</f>
        <v>0</v>
      </c>
      <c r="AP301" s="768">
        <f t="shared" si="30"/>
        <v>0</v>
      </c>
      <c r="AQ301" s="768">
        <f t="shared" si="30"/>
        <v>51978</v>
      </c>
      <c r="AR301" s="768">
        <f t="shared" si="30"/>
        <v>0</v>
      </c>
      <c r="AS301" s="768">
        <f t="shared" si="30"/>
        <v>55769</v>
      </c>
      <c r="AT301" s="768">
        <f t="shared" si="30"/>
        <v>51978</v>
      </c>
      <c r="AU301" s="768">
        <f t="shared" si="30"/>
        <v>0</v>
      </c>
      <c r="AV301" s="768">
        <f t="shared" si="30"/>
        <v>0</v>
      </c>
      <c r="AW301" s="769" t="s">
        <v>2004</v>
      </c>
      <c r="AX301" s="770">
        <f>AT301+AT16</f>
        <v>552668.97</v>
      </c>
      <c r="AY301" s="771">
        <f>AX301-552669</f>
        <v>-3.0000000027939677E-2</v>
      </c>
    </row>
    <row r="302" spans="1:51" s="14" customFormat="1" ht="32.25" customHeight="1" x14ac:dyDescent="0.25">
      <c r="A302" s="620" t="s">
        <v>100</v>
      </c>
      <c r="B302" s="523" t="s">
        <v>62</v>
      </c>
      <c r="C302" s="464"/>
      <c r="D302" s="464"/>
      <c r="E302" s="772"/>
      <c r="F302" s="464"/>
      <c r="G302" s="773"/>
      <c r="H302" s="773"/>
      <c r="I302" s="773"/>
      <c r="J302" s="773"/>
      <c r="K302" s="773"/>
      <c r="L302" s="773"/>
      <c r="M302" s="773"/>
      <c r="N302" s="773"/>
      <c r="O302" s="773"/>
      <c r="P302" s="773"/>
      <c r="Q302" s="773"/>
      <c r="R302" s="773"/>
      <c r="S302" s="773"/>
      <c r="T302" s="773"/>
      <c r="U302" s="773"/>
      <c r="V302" s="773"/>
      <c r="W302" s="773"/>
      <c r="X302" s="773"/>
      <c r="Y302" s="773"/>
      <c r="Z302" s="773"/>
      <c r="AA302" s="773"/>
      <c r="AB302" s="773"/>
      <c r="AC302" s="773"/>
      <c r="AD302" s="773"/>
      <c r="AE302" s="773"/>
      <c r="AF302" s="773"/>
      <c r="AG302" s="773"/>
      <c r="AH302" s="773"/>
      <c r="AI302" s="773"/>
      <c r="AJ302" s="773"/>
      <c r="AK302" s="773"/>
      <c r="AL302" s="773"/>
      <c r="AM302" s="774"/>
      <c r="AN302" s="774"/>
      <c r="AO302" s="774">
        <f t="shared" ref="AO302:AV302" si="31">SUM(AO303:AO306)</f>
        <v>0</v>
      </c>
      <c r="AP302" s="774">
        <f t="shared" si="31"/>
        <v>0</v>
      </c>
      <c r="AQ302" s="774">
        <f t="shared" ref="AQ302:AR302" si="32">SUM(AQ303:AQ306)</f>
        <v>5911</v>
      </c>
      <c r="AR302" s="774">
        <f t="shared" si="32"/>
        <v>0</v>
      </c>
      <c r="AS302" s="774">
        <f t="shared" si="31"/>
        <v>6327</v>
      </c>
      <c r="AT302" s="774">
        <f t="shared" si="31"/>
        <v>5911</v>
      </c>
      <c r="AU302" s="774">
        <f t="shared" si="31"/>
        <v>0</v>
      </c>
      <c r="AV302" s="774">
        <f t="shared" si="31"/>
        <v>0</v>
      </c>
      <c r="AW302" s="769" t="s">
        <v>2005</v>
      </c>
      <c r="AX302" s="775"/>
    </row>
    <row r="303" spans="1:51" ht="33" customHeight="1" x14ac:dyDescent="0.25">
      <c r="A303" s="776">
        <v>1</v>
      </c>
      <c r="B303" s="777" t="s">
        <v>2006</v>
      </c>
      <c r="C303" s="717" t="s">
        <v>2007</v>
      </c>
      <c r="D303" s="717" t="s">
        <v>2008</v>
      </c>
      <c r="E303" s="778" t="s">
        <v>61</v>
      </c>
      <c r="F303" s="450"/>
      <c r="G303" s="779"/>
      <c r="H303" s="779"/>
      <c r="I303" s="779"/>
      <c r="J303" s="779"/>
      <c r="K303" s="779"/>
      <c r="L303" s="779"/>
      <c r="M303" s="779"/>
      <c r="N303" s="779"/>
      <c r="O303" s="779"/>
      <c r="P303" s="779"/>
      <c r="Q303" s="779"/>
      <c r="R303" s="779"/>
      <c r="S303" s="779"/>
      <c r="T303" s="779"/>
      <c r="U303" s="779"/>
      <c r="V303" s="779"/>
      <c r="W303" s="779"/>
      <c r="X303" s="779"/>
      <c r="Y303" s="779"/>
      <c r="Z303" s="779"/>
      <c r="AA303" s="779"/>
      <c r="AB303" s="779"/>
      <c r="AC303" s="779"/>
      <c r="AD303" s="779"/>
      <c r="AE303" s="779"/>
      <c r="AF303" s="779"/>
      <c r="AG303" s="779"/>
      <c r="AH303" s="779"/>
      <c r="AI303" s="779"/>
      <c r="AJ303" s="779"/>
      <c r="AK303" s="779"/>
      <c r="AL303" s="779"/>
      <c r="AM303" s="780"/>
      <c r="AN303" s="780"/>
      <c r="AO303" s="781"/>
      <c r="AP303" s="781"/>
      <c r="AQ303" s="782">
        <v>1850</v>
      </c>
      <c r="AR303" s="607"/>
      <c r="AS303" s="65">
        <v>2000</v>
      </c>
      <c r="AT303" s="388">
        <v>1850</v>
      </c>
      <c r="AU303" s="780"/>
      <c r="AV303" s="780"/>
      <c r="AW303" s="147"/>
    </row>
    <row r="304" spans="1:51" ht="47.25" x14ac:dyDescent="0.25">
      <c r="A304" s="776">
        <v>2</v>
      </c>
      <c r="B304" s="777" t="s">
        <v>2009</v>
      </c>
      <c r="C304" s="717" t="s">
        <v>2010</v>
      </c>
      <c r="D304" s="717" t="s">
        <v>2011</v>
      </c>
      <c r="E304" s="778" t="s">
        <v>61</v>
      </c>
      <c r="F304" s="450"/>
      <c r="G304" s="779"/>
      <c r="H304" s="779"/>
      <c r="I304" s="779"/>
      <c r="J304" s="779"/>
      <c r="K304" s="779"/>
      <c r="L304" s="779"/>
      <c r="M304" s="779"/>
      <c r="N304" s="779"/>
      <c r="O304" s="779"/>
      <c r="P304" s="779"/>
      <c r="Q304" s="779"/>
      <c r="R304" s="779"/>
      <c r="S304" s="779"/>
      <c r="T304" s="779"/>
      <c r="U304" s="779"/>
      <c r="V304" s="779"/>
      <c r="W304" s="779"/>
      <c r="X304" s="779"/>
      <c r="Y304" s="779"/>
      <c r="Z304" s="779"/>
      <c r="AA304" s="779"/>
      <c r="AB304" s="779"/>
      <c r="AC304" s="779"/>
      <c r="AD304" s="779"/>
      <c r="AE304" s="779"/>
      <c r="AF304" s="779"/>
      <c r="AG304" s="779"/>
      <c r="AH304" s="779"/>
      <c r="AI304" s="779"/>
      <c r="AJ304" s="779"/>
      <c r="AK304" s="779"/>
      <c r="AL304" s="779"/>
      <c r="AM304" s="780"/>
      <c r="AN304" s="780"/>
      <c r="AO304" s="781"/>
      <c r="AP304" s="781"/>
      <c r="AQ304" s="782">
        <v>1537</v>
      </c>
      <c r="AR304" s="607"/>
      <c r="AS304" s="65">
        <v>1637</v>
      </c>
      <c r="AT304" s="388">
        <v>1537</v>
      </c>
      <c r="AU304" s="780"/>
      <c r="AV304" s="780"/>
      <c r="AW304" s="147"/>
    </row>
    <row r="305" spans="1:51" ht="31.5" x14ac:dyDescent="0.25">
      <c r="A305" s="776">
        <v>3</v>
      </c>
      <c r="B305" s="777" t="s">
        <v>2012</v>
      </c>
      <c r="C305" s="717" t="s">
        <v>2013</v>
      </c>
      <c r="D305" s="717" t="s">
        <v>2014</v>
      </c>
      <c r="E305" s="778" t="s">
        <v>61</v>
      </c>
      <c r="F305" s="450"/>
      <c r="G305" s="779"/>
      <c r="H305" s="779"/>
      <c r="I305" s="779"/>
      <c r="J305" s="779"/>
      <c r="K305" s="779"/>
      <c r="L305" s="779"/>
      <c r="M305" s="779"/>
      <c r="N305" s="779"/>
      <c r="O305" s="779"/>
      <c r="P305" s="779"/>
      <c r="Q305" s="779"/>
      <c r="R305" s="779"/>
      <c r="S305" s="779"/>
      <c r="T305" s="779"/>
      <c r="U305" s="779"/>
      <c r="V305" s="779"/>
      <c r="W305" s="779"/>
      <c r="X305" s="779"/>
      <c r="Y305" s="779"/>
      <c r="Z305" s="779"/>
      <c r="AA305" s="779"/>
      <c r="AB305" s="779"/>
      <c r="AC305" s="779"/>
      <c r="AD305" s="779"/>
      <c r="AE305" s="779"/>
      <c r="AF305" s="779"/>
      <c r="AG305" s="779"/>
      <c r="AH305" s="779"/>
      <c r="AI305" s="779"/>
      <c r="AJ305" s="779"/>
      <c r="AK305" s="779"/>
      <c r="AL305" s="779"/>
      <c r="AM305" s="780"/>
      <c r="AN305" s="780"/>
      <c r="AO305" s="781"/>
      <c r="AP305" s="781"/>
      <c r="AQ305" s="782">
        <v>1300</v>
      </c>
      <c r="AR305" s="607"/>
      <c r="AS305" s="65">
        <v>1400</v>
      </c>
      <c r="AT305" s="388">
        <v>1300</v>
      </c>
      <c r="AU305" s="780"/>
      <c r="AV305" s="780"/>
      <c r="AW305" s="147"/>
    </row>
    <row r="306" spans="1:51" ht="47.25" x14ac:dyDescent="0.25">
      <c r="A306" s="776">
        <v>4</v>
      </c>
      <c r="B306" s="777" t="s">
        <v>2015</v>
      </c>
      <c r="C306" s="717" t="s">
        <v>2016</v>
      </c>
      <c r="D306" s="717" t="s">
        <v>2017</v>
      </c>
      <c r="E306" s="778" t="s">
        <v>61</v>
      </c>
      <c r="F306" s="450"/>
      <c r="G306" s="779"/>
      <c r="H306" s="779"/>
      <c r="I306" s="779"/>
      <c r="J306" s="779"/>
      <c r="K306" s="779"/>
      <c r="L306" s="779"/>
      <c r="M306" s="779"/>
      <c r="N306" s="779"/>
      <c r="O306" s="779"/>
      <c r="P306" s="779"/>
      <c r="Q306" s="779"/>
      <c r="R306" s="779"/>
      <c r="S306" s="779"/>
      <c r="T306" s="779"/>
      <c r="U306" s="779"/>
      <c r="V306" s="779"/>
      <c r="W306" s="779"/>
      <c r="X306" s="779"/>
      <c r="Y306" s="779"/>
      <c r="Z306" s="779"/>
      <c r="AA306" s="779"/>
      <c r="AB306" s="779"/>
      <c r="AC306" s="779"/>
      <c r="AD306" s="779"/>
      <c r="AE306" s="779"/>
      <c r="AF306" s="779"/>
      <c r="AG306" s="779"/>
      <c r="AH306" s="779"/>
      <c r="AI306" s="779"/>
      <c r="AJ306" s="779"/>
      <c r="AK306" s="779"/>
      <c r="AL306" s="779"/>
      <c r="AM306" s="780"/>
      <c r="AN306" s="780"/>
      <c r="AO306" s="781"/>
      <c r="AP306" s="781"/>
      <c r="AQ306" s="782">
        <v>1224</v>
      </c>
      <c r="AR306" s="607"/>
      <c r="AS306" s="65">
        <v>1290</v>
      </c>
      <c r="AT306" s="388">
        <v>1224</v>
      </c>
      <c r="AU306" s="780"/>
      <c r="AV306" s="780"/>
      <c r="AW306" s="147"/>
    </row>
    <row r="307" spans="1:51" ht="38.25" customHeight="1" x14ac:dyDescent="0.25">
      <c r="A307" s="783" t="s">
        <v>102</v>
      </c>
      <c r="B307" s="784" t="s">
        <v>40</v>
      </c>
      <c r="C307" s="717"/>
      <c r="D307" s="717"/>
      <c r="E307" s="717"/>
      <c r="F307" s="450"/>
      <c r="G307" s="779"/>
      <c r="H307" s="779"/>
      <c r="I307" s="779"/>
      <c r="J307" s="779"/>
      <c r="K307" s="779"/>
      <c r="L307" s="779"/>
      <c r="M307" s="779"/>
      <c r="N307" s="779"/>
      <c r="O307" s="779"/>
      <c r="P307" s="779"/>
      <c r="Q307" s="779"/>
      <c r="R307" s="779"/>
      <c r="S307" s="779"/>
      <c r="T307" s="779"/>
      <c r="U307" s="779"/>
      <c r="V307" s="779"/>
      <c r="W307" s="779"/>
      <c r="X307" s="779"/>
      <c r="Y307" s="779"/>
      <c r="Z307" s="779"/>
      <c r="AA307" s="779"/>
      <c r="AB307" s="779"/>
      <c r="AC307" s="779"/>
      <c r="AD307" s="779"/>
      <c r="AE307" s="779"/>
      <c r="AF307" s="779"/>
      <c r="AG307" s="779"/>
      <c r="AH307" s="779"/>
      <c r="AI307" s="779"/>
      <c r="AJ307" s="779"/>
      <c r="AK307" s="779"/>
      <c r="AL307" s="779"/>
      <c r="AM307" s="774"/>
      <c r="AN307" s="774"/>
      <c r="AO307" s="774">
        <f t="shared" ref="AO307:AV307" si="33">AO308</f>
        <v>0</v>
      </c>
      <c r="AP307" s="774">
        <f t="shared" si="33"/>
        <v>0</v>
      </c>
      <c r="AQ307" s="774">
        <f t="shared" si="33"/>
        <v>5000</v>
      </c>
      <c r="AR307" s="774">
        <f t="shared" si="33"/>
        <v>0</v>
      </c>
      <c r="AS307" s="774">
        <f t="shared" si="33"/>
        <v>5352</v>
      </c>
      <c r="AT307" s="774">
        <f t="shared" si="33"/>
        <v>5000</v>
      </c>
      <c r="AU307" s="774">
        <f t="shared" si="33"/>
        <v>0</v>
      </c>
      <c r="AV307" s="774">
        <f t="shared" si="33"/>
        <v>0</v>
      </c>
      <c r="AW307" s="769" t="s">
        <v>2018</v>
      </c>
    </row>
    <row r="308" spans="1:51" ht="45" customHeight="1" x14ac:dyDescent="0.25">
      <c r="A308" s="776">
        <v>1</v>
      </c>
      <c r="B308" s="777" t="s">
        <v>2019</v>
      </c>
      <c r="C308" s="717" t="s">
        <v>41</v>
      </c>
      <c r="D308" s="717" t="s">
        <v>2020</v>
      </c>
      <c r="E308" s="717" t="s">
        <v>61</v>
      </c>
      <c r="F308" s="450"/>
      <c r="G308" s="779"/>
      <c r="H308" s="779"/>
      <c r="I308" s="779"/>
      <c r="J308" s="779"/>
      <c r="K308" s="779"/>
      <c r="L308" s="779"/>
      <c r="M308" s="779"/>
      <c r="N308" s="779"/>
      <c r="O308" s="779"/>
      <c r="P308" s="779"/>
      <c r="Q308" s="779"/>
      <c r="R308" s="779"/>
      <c r="S308" s="779"/>
      <c r="T308" s="779"/>
      <c r="U308" s="779"/>
      <c r="V308" s="779"/>
      <c r="W308" s="779"/>
      <c r="X308" s="779"/>
      <c r="Y308" s="779"/>
      <c r="Z308" s="779"/>
      <c r="AA308" s="779"/>
      <c r="AB308" s="779"/>
      <c r="AC308" s="779"/>
      <c r="AD308" s="779"/>
      <c r="AE308" s="779"/>
      <c r="AF308" s="779"/>
      <c r="AG308" s="779"/>
      <c r="AH308" s="779"/>
      <c r="AI308" s="779"/>
      <c r="AJ308" s="779"/>
      <c r="AK308" s="779"/>
      <c r="AL308" s="779"/>
      <c r="AM308" s="780"/>
      <c r="AN308" s="780"/>
      <c r="AO308" s="781"/>
      <c r="AP308" s="781"/>
      <c r="AQ308" s="785">
        <v>5000</v>
      </c>
      <c r="AR308" s="607"/>
      <c r="AS308" s="65">
        <v>5352</v>
      </c>
      <c r="AT308" s="786">
        <v>5000</v>
      </c>
      <c r="AU308" s="780"/>
      <c r="AV308" s="780"/>
      <c r="AW308" s="147"/>
    </row>
    <row r="309" spans="1:51" s="683" customFormat="1" ht="40.5" customHeight="1" x14ac:dyDescent="0.25">
      <c r="A309" s="620" t="s">
        <v>1649</v>
      </c>
      <c r="B309" s="523" t="s">
        <v>2021</v>
      </c>
      <c r="C309" s="464"/>
      <c r="D309" s="464"/>
      <c r="E309" s="464"/>
      <c r="F309" s="464"/>
      <c r="G309" s="773"/>
      <c r="H309" s="773"/>
      <c r="I309" s="773"/>
      <c r="J309" s="773"/>
      <c r="K309" s="773"/>
      <c r="L309" s="773"/>
      <c r="M309" s="773"/>
      <c r="N309" s="773"/>
      <c r="O309" s="773"/>
      <c r="P309" s="773"/>
      <c r="Q309" s="773"/>
      <c r="R309" s="773"/>
      <c r="S309" s="773"/>
      <c r="T309" s="773"/>
      <c r="U309" s="773"/>
      <c r="V309" s="773"/>
      <c r="W309" s="773"/>
      <c r="X309" s="773"/>
      <c r="Y309" s="773"/>
      <c r="Z309" s="773"/>
      <c r="AA309" s="773"/>
      <c r="AB309" s="773"/>
      <c r="AC309" s="773"/>
      <c r="AD309" s="773"/>
      <c r="AE309" s="773"/>
      <c r="AF309" s="773"/>
      <c r="AG309" s="773"/>
      <c r="AH309" s="773"/>
      <c r="AI309" s="773"/>
      <c r="AJ309" s="773"/>
      <c r="AK309" s="773"/>
      <c r="AL309" s="773"/>
      <c r="AM309" s="774"/>
      <c r="AN309" s="774"/>
      <c r="AO309" s="774">
        <f t="shared" ref="AO309:AV309" si="34">SUM(AO310:AO312)</f>
        <v>0</v>
      </c>
      <c r="AP309" s="774">
        <f t="shared" si="34"/>
        <v>0</v>
      </c>
      <c r="AQ309" s="774">
        <f t="shared" si="34"/>
        <v>9103</v>
      </c>
      <c r="AR309" s="774">
        <f t="shared" si="34"/>
        <v>0</v>
      </c>
      <c r="AS309" s="774">
        <f t="shared" si="34"/>
        <v>9820</v>
      </c>
      <c r="AT309" s="774">
        <f t="shared" si="34"/>
        <v>9103</v>
      </c>
      <c r="AU309" s="774">
        <f t="shared" si="34"/>
        <v>0</v>
      </c>
      <c r="AV309" s="774">
        <f t="shared" si="34"/>
        <v>0</v>
      </c>
      <c r="AW309" s="769" t="s">
        <v>2022</v>
      </c>
      <c r="AX309" s="787"/>
    </row>
    <row r="310" spans="1:51" ht="31.5" x14ac:dyDescent="0.25">
      <c r="A310" s="776">
        <v>1</v>
      </c>
      <c r="B310" s="788" t="s">
        <v>2023</v>
      </c>
      <c r="C310" s="789" t="s">
        <v>1394</v>
      </c>
      <c r="D310" s="789" t="s">
        <v>374</v>
      </c>
      <c r="E310" s="790" t="s">
        <v>61</v>
      </c>
      <c r="F310" s="450"/>
      <c r="G310" s="779"/>
      <c r="H310" s="779"/>
      <c r="I310" s="779"/>
      <c r="J310" s="779"/>
      <c r="K310" s="779"/>
      <c r="L310" s="779"/>
      <c r="M310" s="779"/>
      <c r="N310" s="779"/>
      <c r="O310" s="779"/>
      <c r="P310" s="779"/>
      <c r="Q310" s="779"/>
      <c r="R310" s="779"/>
      <c r="S310" s="779"/>
      <c r="T310" s="779"/>
      <c r="U310" s="779"/>
      <c r="V310" s="779"/>
      <c r="W310" s="779"/>
      <c r="X310" s="779"/>
      <c r="Y310" s="779"/>
      <c r="Z310" s="779"/>
      <c r="AA310" s="779"/>
      <c r="AB310" s="779"/>
      <c r="AC310" s="779"/>
      <c r="AD310" s="779"/>
      <c r="AE310" s="779"/>
      <c r="AF310" s="779"/>
      <c r="AG310" s="779"/>
      <c r="AH310" s="779"/>
      <c r="AI310" s="779"/>
      <c r="AJ310" s="779"/>
      <c r="AK310" s="779"/>
      <c r="AL310" s="779"/>
      <c r="AM310" s="780"/>
      <c r="AN310" s="780"/>
      <c r="AO310" s="781"/>
      <c r="AP310" s="781"/>
      <c r="AQ310" s="791">
        <v>5100</v>
      </c>
      <c r="AR310" s="607"/>
      <c r="AS310" s="65">
        <v>5550</v>
      </c>
      <c r="AT310" s="609">
        <v>5100</v>
      </c>
      <c r="AU310" s="780"/>
      <c r="AV310" s="780"/>
      <c r="AW310" s="147"/>
    </row>
    <row r="311" spans="1:51" ht="31.5" x14ac:dyDescent="0.25">
      <c r="A311" s="776">
        <v>2</v>
      </c>
      <c r="B311" s="788" t="s">
        <v>2024</v>
      </c>
      <c r="C311" s="789" t="s">
        <v>1394</v>
      </c>
      <c r="D311" s="789" t="s">
        <v>2025</v>
      </c>
      <c r="E311" s="790" t="s">
        <v>61</v>
      </c>
      <c r="F311" s="450"/>
      <c r="G311" s="779"/>
      <c r="H311" s="779"/>
      <c r="I311" s="779"/>
      <c r="J311" s="779"/>
      <c r="K311" s="779"/>
      <c r="L311" s="779"/>
      <c r="M311" s="779"/>
      <c r="N311" s="779"/>
      <c r="O311" s="779"/>
      <c r="P311" s="779"/>
      <c r="Q311" s="779"/>
      <c r="R311" s="779"/>
      <c r="S311" s="779"/>
      <c r="T311" s="779"/>
      <c r="U311" s="779"/>
      <c r="V311" s="779"/>
      <c r="W311" s="779"/>
      <c r="X311" s="779"/>
      <c r="Y311" s="779"/>
      <c r="Z311" s="779"/>
      <c r="AA311" s="779"/>
      <c r="AB311" s="779"/>
      <c r="AC311" s="779"/>
      <c r="AD311" s="779"/>
      <c r="AE311" s="779"/>
      <c r="AF311" s="779"/>
      <c r="AG311" s="779"/>
      <c r="AH311" s="779"/>
      <c r="AI311" s="779"/>
      <c r="AJ311" s="779"/>
      <c r="AK311" s="779"/>
      <c r="AL311" s="779"/>
      <c r="AM311" s="780"/>
      <c r="AN311" s="780"/>
      <c r="AO311" s="781"/>
      <c r="AP311" s="781"/>
      <c r="AQ311" s="791">
        <v>1000</v>
      </c>
      <c r="AR311" s="607"/>
      <c r="AS311" s="65">
        <v>1010</v>
      </c>
      <c r="AT311" s="609">
        <v>1000</v>
      </c>
      <c r="AU311" s="780"/>
      <c r="AV311" s="780"/>
      <c r="AW311" s="147"/>
    </row>
    <row r="312" spans="1:51" ht="31.5" x14ac:dyDescent="0.25">
      <c r="A312" s="776">
        <v>3</v>
      </c>
      <c r="B312" s="788" t="s">
        <v>2026</v>
      </c>
      <c r="C312" s="789" t="s">
        <v>1394</v>
      </c>
      <c r="D312" s="717" t="s">
        <v>2027</v>
      </c>
      <c r="E312" s="790" t="s">
        <v>61</v>
      </c>
      <c r="F312" s="450"/>
      <c r="G312" s="779"/>
      <c r="H312" s="779"/>
      <c r="I312" s="779"/>
      <c r="J312" s="779"/>
      <c r="K312" s="779"/>
      <c r="L312" s="779"/>
      <c r="M312" s="779"/>
      <c r="N312" s="779"/>
      <c r="O312" s="779"/>
      <c r="P312" s="779"/>
      <c r="Q312" s="779"/>
      <c r="R312" s="779"/>
      <c r="S312" s="779"/>
      <c r="T312" s="779"/>
      <c r="U312" s="779"/>
      <c r="V312" s="779"/>
      <c r="W312" s="779"/>
      <c r="X312" s="779"/>
      <c r="Y312" s="779"/>
      <c r="Z312" s="779"/>
      <c r="AA312" s="779"/>
      <c r="AB312" s="779"/>
      <c r="AC312" s="779"/>
      <c r="AD312" s="779"/>
      <c r="AE312" s="779"/>
      <c r="AF312" s="779"/>
      <c r="AG312" s="779"/>
      <c r="AH312" s="779"/>
      <c r="AI312" s="779"/>
      <c r="AJ312" s="779"/>
      <c r="AK312" s="779"/>
      <c r="AL312" s="779"/>
      <c r="AM312" s="780"/>
      <c r="AN312" s="780"/>
      <c r="AO312" s="781"/>
      <c r="AP312" s="781"/>
      <c r="AQ312" s="791">
        <v>3003</v>
      </c>
      <c r="AR312" s="607"/>
      <c r="AS312" s="65">
        <v>3260</v>
      </c>
      <c r="AT312" s="609">
        <v>3003</v>
      </c>
      <c r="AU312" s="780"/>
      <c r="AV312" s="780"/>
      <c r="AW312" s="147"/>
    </row>
    <row r="313" spans="1:51" s="793" customFormat="1" ht="31.5" customHeight="1" x14ac:dyDescent="0.25">
      <c r="A313" s="783" t="s">
        <v>1655</v>
      </c>
      <c r="B313" s="713" t="s">
        <v>1565</v>
      </c>
      <c r="C313" s="717"/>
      <c r="D313" s="717"/>
      <c r="E313" s="717"/>
      <c r="F313" s="450"/>
      <c r="G313" s="779"/>
      <c r="H313" s="779"/>
      <c r="I313" s="779"/>
      <c r="J313" s="779"/>
      <c r="K313" s="779"/>
      <c r="L313" s="779"/>
      <c r="M313" s="779"/>
      <c r="N313" s="779"/>
      <c r="O313" s="779"/>
      <c r="P313" s="779"/>
      <c r="Q313" s="779"/>
      <c r="R313" s="779"/>
      <c r="S313" s="779"/>
      <c r="T313" s="779"/>
      <c r="U313" s="779"/>
      <c r="V313" s="779"/>
      <c r="W313" s="779"/>
      <c r="X313" s="779"/>
      <c r="Y313" s="779"/>
      <c r="Z313" s="779"/>
      <c r="AA313" s="779"/>
      <c r="AB313" s="779"/>
      <c r="AC313" s="779"/>
      <c r="AD313" s="779"/>
      <c r="AE313" s="779"/>
      <c r="AF313" s="779"/>
      <c r="AG313" s="779"/>
      <c r="AH313" s="779"/>
      <c r="AI313" s="779"/>
      <c r="AJ313" s="779"/>
      <c r="AK313" s="779"/>
      <c r="AL313" s="779"/>
      <c r="AM313" s="774"/>
      <c r="AN313" s="774"/>
      <c r="AO313" s="774">
        <f t="shared" ref="AO313:AV313" si="35">SUM(AO314:AO315)</f>
        <v>0</v>
      </c>
      <c r="AP313" s="774">
        <f t="shared" si="35"/>
        <v>0</v>
      </c>
      <c r="AQ313" s="774">
        <f t="shared" si="35"/>
        <v>6162</v>
      </c>
      <c r="AR313" s="774">
        <f t="shared" si="35"/>
        <v>0</v>
      </c>
      <c r="AS313" s="774">
        <f t="shared" si="35"/>
        <v>6596</v>
      </c>
      <c r="AT313" s="774">
        <f t="shared" si="35"/>
        <v>6162</v>
      </c>
      <c r="AU313" s="774">
        <f t="shared" si="35"/>
        <v>0</v>
      </c>
      <c r="AV313" s="774">
        <f t="shared" si="35"/>
        <v>0</v>
      </c>
      <c r="AW313" s="769" t="s">
        <v>2028</v>
      </c>
      <c r="AX313" s="792"/>
    </row>
    <row r="314" spans="1:51" ht="33.75" customHeight="1" x14ac:dyDescent="0.25">
      <c r="A314" s="776">
        <v>1</v>
      </c>
      <c r="B314" s="716" t="s">
        <v>2029</v>
      </c>
      <c r="C314" s="794" t="s">
        <v>2030</v>
      </c>
      <c r="D314" s="795" t="s">
        <v>2031</v>
      </c>
      <c r="E314" s="790" t="s">
        <v>61</v>
      </c>
      <c r="F314" s="450"/>
      <c r="G314" s="779"/>
      <c r="H314" s="779"/>
      <c r="I314" s="779"/>
      <c r="J314" s="779"/>
      <c r="K314" s="779"/>
      <c r="L314" s="779"/>
      <c r="M314" s="779"/>
      <c r="N314" s="779"/>
      <c r="O314" s="779"/>
      <c r="P314" s="779"/>
      <c r="Q314" s="779"/>
      <c r="R314" s="779"/>
      <c r="S314" s="779"/>
      <c r="T314" s="779"/>
      <c r="U314" s="779"/>
      <c r="V314" s="779"/>
      <c r="W314" s="779"/>
      <c r="X314" s="779"/>
      <c r="Y314" s="779"/>
      <c r="Z314" s="779"/>
      <c r="AA314" s="779"/>
      <c r="AB314" s="779"/>
      <c r="AC314" s="779"/>
      <c r="AD314" s="779"/>
      <c r="AE314" s="779"/>
      <c r="AF314" s="779"/>
      <c r="AG314" s="779"/>
      <c r="AH314" s="779"/>
      <c r="AI314" s="779"/>
      <c r="AJ314" s="779"/>
      <c r="AK314" s="779"/>
      <c r="AL314" s="779"/>
      <c r="AM314" s="780"/>
      <c r="AN314" s="780"/>
      <c r="AO314" s="781"/>
      <c r="AP314" s="781"/>
      <c r="AQ314" s="796">
        <v>3246</v>
      </c>
      <c r="AR314" s="607"/>
      <c r="AS314" s="65">
        <v>3480</v>
      </c>
      <c r="AT314" s="797">
        <v>3246</v>
      </c>
      <c r="AU314" s="780"/>
      <c r="AV314" s="780"/>
      <c r="AW314" s="147"/>
    </row>
    <row r="315" spans="1:51" ht="34.5" customHeight="1" x14ac:dyDescent="0.25">
      <c r="A315" s="776">
        <v>2</v>
      </c>
      <c r="B315" s="716" t="s">
        <v>2032</v>
      </c>
      <c r="C315" s="794" t="s">
        <v>2033</v>
      </c>
      <c r="D315" s="795" t="s">
        <v>2034</v>
      </c>
      <c r="E315" s="790" t="s">
        <v>61</v>
      </c>
      <c r="F315" s="450"/>
      <c r="G315" s="779"/>
      <c r="H315" s="779"/>
      <c r="I315" s="779"/>
      <c r="J315" s="779"/>
      <c r="K315" s="779"/>
      <c r="L315" s="779"/>
      <c r="M315" s="779"/>
      <c r="N315" s="779"/>
      <c r="O315" s="779"/>
      <c r="P315" s="779"/>
      <c r="Q315" s="779"/>
      <c r="R315" s="779"/>
      <c r="S315" s="779"/>
      <c r="T315" s="779"/>
      <c r="U315" s="779"/>
      <c r="V315" s="779"/>
      <c r="W315" s="779"/>
      <c r="X315" s="779"/>
      <c r="Y315" s="779"/>
      <c r="Z315" s="779"/>
      <c r="AA315" s="779"/>
      <c r="AB315" s="779"/>
      <c r="AC315" s="779"/>
      <c r="AD315" s="779"/>
      <c r="AE315" s="779"/>
      <c r="AF315" s="779"/>
      <c r="AG315" s="779"/>
      <c r="AH315" s="779"/>
      <c r="AI315" s="779"/>
      <c r="AJ315" s="779"/>
      <c r="AK315" s="779"/>
      <c r="AL315" s="779"/>
      <c r="AM315" s="780"/>
      <c r="AN315" s="780"/>
      <c r="AO315" s="781"/>
      <c r="AP315" s="781"/>
      <c r="AQ315" s="796">
        <v>2916</v>
      </c>
      <c r="AR315" s="607"/>
      <c r="AS315" s="65">
        <v>3116</v>
      </c>
      <c r="AT315" s="797">
        <v>2916</v>
      </c>
      <c r="AU315" s="780"/>
      <c r="AV315" s="780"/>
      <c r="AW315" s="147"/>
    </row>
    <row r="316" spans="1:51" s="793" customFormat="1" ht="39.75" customHeight="1" x14ac:dyDescent="0.25">
      <c r="A316" s="783" t="s">
        <v>2035</v>
      </c>
      <c r="B316" s="713" t="s">
        <v>86</v>
      </c>
      <c r="C316" s="717"/>
      <c r="D316" s="717"/>
      <c r="E316" s="717"/>
      <c r="F316" s="450"/>
      <c r="G316" s="779"/>
      <c r="H316" s="779"/>
      <c r="I316" s="779"/>
      <c r="J316" s="779"/>
      <c r="K316" s="779"/>
      <c r="L316" s="779"/>
      <c r="M316" s="779"/>
      <c r="N316" s="779"/>
      <c r="O316" s="779"/>
      <c r="P316" s="779"/>
      <c r="Q316" s="779"/>
      <c r="R316" s="779"/>
      <c r="S316" s="779"/>
      <c r="T316" s="779"/>
      <c r="U316" s="779"/>
      <c r="V316" s="779"/>
      <c r="W316" s="779"/>
      <c r="X316" s="779"/>
      <c r="Y316" s="779"/>
      <c r="Z316" s="779"/>
      <c r="AA316" s="779"/>
      <c r="AB316" s="779"/>
      <c r="AC316" s="779"/>
      <c r="AD316" s="779"/>
      <c r="AE316" s="779"/>
      <c r="AF316" s="779"/>
      <c r="AG316" s="779"/>
      <c r="AH316" s="779"/>
      <c r="AI316" s="779"/>
      <c r="AJ316" s="779"/>
      <c r="AK316" s="779"/>
      <c r="AL316" s="779"/>
      <c r="AM316" s="774"/>
      <c r="AN316" s="774"/>
      <c r="AO316" s="774">
        <f t="shared" ref="AO316:AV316" si="36">SUM(AO317:AO318)</f>
        <v>0</v>
      </c>
      <c r="AP316" s="774">
        <f t="shared" si="36"/>
        <v>0</v>
      </c>
      <c r="AQ316" s="774">
        <f t="shared" si="36"/>
        <v>5053</v>
      </c>
      <c r="AR316" s="774">
        <f t="shared" si="36"/>
        <v>0</v>
      </c>
      <c r="AS316" s="774">
        <f t="shared" si="36"/>
        <v>5406</v>
      </c>
      <c r="AT316" s="774">
        <f t="shared" si="36"/>
        <v>5053</v>
      </c>
      <c r="AU316" s="774">
        <f t="shared" si="36"/>
        <v>0</v>
      </c>
      <c r="AV316" s="774">
        <f t="shared" si="36"/>
        <v>0</v>
      </c>
      <c r="AW316" s="769" t="s">
        <v>2036</v>
      </c>
      <c r="AX316" s="792"/>
    </row>
    <row r="317" spans="1:51" ht="47.25" x14ac:dyDescent="0.25">
      <c r="A317" s="776">
        <v>1</v>
      </c>
      <c r="B317" s="777" t="s">
        <v>2037</v>
      </c>
      <c r="C317" s="717" t="s">
        <v>2038</v>
      </c>
      <c r="D317" s="798" t="s">
        <v>2039</v>
      </c>
      <c r="E317" s="790" t="s">
        <v>61</v>
      </c>
      <c r="F317" s="450"/>
      <c r="G317" s="779"/>
      <c r="H317" s="779"/>
      <c r="I317" s="779"/>
      <c r="J317" s="779"/>
      <c r="K317" s="779"/>
      <c r="L317" s="779"/>
      <c r="M317" s="779"/>
      <c r="N317" s="779"/>
      <c r="O317" s="779"/>
      <c r="P317" s="779"/>
      <c r="Q317" s="779"/>
      <c r="R317" s="779"/>
      <c r="S317" s="779"/>
      <c r="T317" s="779"/>
      <c r="U317" s="779"/>
      <c r="V317" s="779"/>
      <c r="W317" s="779"/>
      <c r="X317" s="779"/>
      <c r="Y317" s="779"/>
      <c r="Z317" s="779"/>
      <c r="AA317" s="779"/>
      <c r="AB317" s="779"/>
      <c r="AC317" s="779"/>
      <c r="AD317" s="779"/>
      <c r="AE317" s="779"/>
      <c r="AF317" s="779"/>
      <c r="AG317" s="779"/>
      <c r="AH317" s="779"/>
      <c r="AI317" s="779"/>
      <c r="AJ317" s="779"/>
      <c r="AK317" s="779"/>
      <c r="AL317" s="779"/>
      <c r="AM317" s="780"/>
      <c r="AN317" s="780"/>
      <c r="AO317" s="781"/>
      <c r="AP317" s="781"/>
      <c r="AQ317" s="796">
        <v>800</v>
      </c>
      <c r="AR317" s="607"/>
      <c r="AS317" s="65">
        <v>800</v>
      </c>
      <c r="AT317" s="797">
        <v>800</v>
      </c>
      <c r="AU317" s="780"/>
      <c r="AV317" s="780"/>
      <c r="AW317" s="147"/>
    </row>
    <row r="318" spans="1:51" ht="47.25" x14ac:dyDescent="0.25">
      <c r="A318" s="776">
        <v>2</v>
      </c>
      <c r="B318" s="777" t="s">
        <v>2040</v>
      </c>
      <c r="C318" s="717" t="s">
        <v>2041</v>
      </c>
      <c r="D318" s="717" t="s">
        <v>2042</v>
      </c>
      <c r="E318" s="790" t="s">
        <v>61</v>
      </c>
      <c r="F318" s="450"/>
      <c r="G318" s="779"/>
      <c r="H318" s="779"/>
      <c r="I318" s="779"/>
      <c r="J318" s="779"/>
      <c r="K318" s="779"/>
      <c r="L318" s="779"/>
      <c r="M318" s="779"/>
      <c r="N318" s="779"/>
      <c r="O318" s="779"/>
      <c r="P318" s="779"/>
      <c r="Q318" s="779"/>
      <c r="R318" s="779"/>
      <c r="S318" s="779"/>
      <c r="T318" s="779"/>
      <c r="U318" s="779"/>
      <c r="V318" s="779"/>
      <c r="W318" s="779"/>
      <c r="X318" s="779"/>
      <c r="Y318" s="779"/>
      <c r="Z318" s="779"/>
      <c r="AA318" s="779"/>
      <c r="AB318" s="779"/>
      <c r="AC318" s="779"/>
      <c r="AD318" s="779"/>
      <c r="AE318" s="779"/>
      <c r="AF318" s="779"/>
      <c r="AG318" s="779"/>
      <c r="AH318" s="779"/>
      <c r="AI318" s="779"/>
      <c r="AJ318" s="779"/>
      <c r="AK318" s="779"/>
      <c r="AL318" s="779"/>
      <c r="AM318" s="780"/>
      <c r="AN318" s="780"/>
      <c r="AO318" s="781"/>
      <c r="AP318" s="781"/>
      <c r="AQ318" s="796">
        <v>4253</v>
      </c>
      <c r="AR318" s="607"/>
      <c r="AS318" s="65">
        <v>4606</v>
      </c>
      <c r="AT318" s="797">
        <v>4253</v>
      </c>
      <c r="AU318" s="780"/>
      <c r="AV318" s="780"/>
      <c r="AW318" s="147"/>
    </row>
    <row r="319" spans="1:51" s="793" customFormat="1" ht="44.25" customHeight="1" x14ac:dyDescent="0.25">
      <c r="A319" s="783" t="s">
        <v>2043</v>
      </c>
      <c r="B319" s="713" t="s">
        <v>1059</v>
      </c>
      <c r="C319" s="717"/>
      <c r="D319" s="717"/>
      <c r="E319" s="717"/>
      <c r="F319" s="450"/>
      <c r="G319" s="779"/>
      <c r="H319" s="779"/>
      <c r="I319" s="779"/>
      <c r="J319" s="779"/>
      <c r="K319" s="779"/>
      <c r="L319" s="779"/>
      <c r="M319" s="779"/>
      <c r="N319" s="779"/>
      <c r="O319" s="779"/>
      <c r="P319" s="779"/>
      <c r="Q319" s="779"/>
      <c r="R319" s="779"/>
      <c r="S319" s="779"/>
      <c r="T319" s="779"/>
      <c r="U319" s="779"/>
      <c r="V319" s="779"/>
      <c r="W319" s="779"/>
      <c r="X319" s="779"/>
      <c r="Y319" s="779"/>
      <c r="Z319" s="779"/>
      <c r="AA319" s="779"/>
      <c r="AB319" s="779"/>
      <c r="AC319" s="779"/>
      <c r="AD319" s="779"/>
      <c r="AE319" s="779"/>
      <c r="AF319" s="779"/>
      <c r="AG319" s="779"/>
      <c r="AH319" s="779"/>
      <c r="AI319" s="779"/>
      <c r="AJ319" s="779"/>
      <c r="AK319" s="779"/>
      <c r="AL319" s="779"/>
      <c r="AM319" s="774"/>
      <c r="AN319" s="774"/>
      <c r="AO319" s="774">
        <f t="shared" ref="AO319:AV319" si="37">SUM(AO320:AO337)</f>
        <v>0</v>
      </c>
      <c r="AP319" s="774">
        <f t="shared" si="37"/>
        <v>0</v>
      </c>
      <c r="AQ319" s="774">
        <f t="shared" si="37"/>
        <v>6799</v>
      </c>
      <c r="AR319" s="774">
        <f t="shared" si="37"/>
        <v>0</v>
      </c>
      <c r="AS319" s="774">
        <f t="shared" si="37"/>
        <v>7285</v>
      </c>
      <c r="AT319" s="774">
        <f t="shared" si="37"/>
        <v>6799</v>
      </c>
      <c r="AU319" s="774">
        <f t="shared" si="37"/>
        <v>0</v>
      </c>
      <c r="AV319" s="774">
        <f t="shared" si="37"/>
        <v>0</v>
      </c>
      <c r="AW319" s="769" t="s">
        <v>2044</v>
      </c>
      <c r="AX319" s="792" t="e">
        <f>#REF!-AW319</f>
        <v>#REF!</v>
      </c>
    </row>
    <row r="320" spans="1:51" ht="49.5" customHeight="1" x14ac:dyDescent="0.25">
      <c r="A320" s="776">
        <v>1</v>
      </c>
      <c r="B320" s="777" t="s">
        <v>2045</v>
      </c>
      <c r="C320" s="717" t="s">
        <v>2046</v>
      </c>
      <c r="D320" s="717" t="s">
        <v>2047</v>
      </c>
      <c r="E320" s="790" t="s">
        <v>61</v>
      </c>
      <c r="F320" s="450"/>
      <c r="G320" s="779"/>
      <c r="H320" s="779"/>
      <c r="I320" s="779"/>
      <c r="J320" s="779"/>
      <c r="K320" s="779"/>
      <c r="L320" s="779"/>
      <c r="M320" s="779"/>
      <c r="N320" s="779"/>
      <c r="O320" s="779"/>
      <c r="P320" s="779"/>
      <c r="Q320" s="779"/>
      <c r="R320" s="779"/>
      <c r="S320" s="779"/>
      <c r="T320" s="779"/>
      <c r="U320" s="779"/>
      <c r="V320" s="779"/>
      <c r="W320" s="779"/>
      <c r="X320" s="779"/>
      <c r="Y320" s="779"/>
      <c r="Z320" s="779"/>
      <c r="AA320" s="779"/>
      <c r="AB320" s="779"/>
      <c r="AC320" s="779"/>
      <c r="AD320" s="779"/>
      <c r="AE320" s="779"/>
      <c r="AF320" s="779"/>
      <c r="AG320" s="779"/>
      <c r="AH320" s="779"/>
      <c r="AI320" s="779"/>
      <c r="AJ320" s="779"/>
      <c r="AK320" s="779"/>
      <c r="AL320" s="779"/>
      <c r="AM320" s="780"/>
      <c r="AN320" s="780"/>
      <c r="AO320" s="781"/>
      <c r="AP320" s="781"/>
      <c r="AQ320" s="799">
        <v>624</v>
      </c>
      <c r="AR320" s="607"/>
      <c r="AS320" s="65">
        <v>720</v>
      </c>
      <c r="AT320" s="800">
        <v>624</v>
      </c>
      <c r="AU320" s="780"/>
      <c r="AV320" s="780"/>
      <c r="AW320" s="147"/>
      <c r="AX320" s="314" t="e">
        <f>AX319/2</f>
        <v>#REF!</v>
      </c>
      <c r="AY320" s="119" t="e">
        <f>#REF!-166</f>
        <v>#REF!</v>
      </c>
    </row>
    <row r="321" spans="1:49" ht="31.5" x14ac:dyDescent="0.25">
      <c r="A321" s="776">
        <v>2</v>
      </c>
      <c r="B321" s="777" t="s">
        <v>2048</v>
      </c>
      <c r="C321" s="717" t="s">
        <v>2046</v>
      </c>
      <c r="D321" s="717" t="s">
        <v>2049</v>
      </c>
      <c r="E321" s="790" t="s">
        <v>61</v>
      </c>
      <c r="F321" s="450"/>
      <c r="G321" s="779"/>
      <c r="H321" s="779"/>
      <c r="I321" s="779"/>
      <c r="J321" s="779"/>
      <c r="K321" s="779"/>
      <c r="L321" s="779"/>
      <c r="M321" s="779"/>
      <c r="N321" s="779"/>
      <c r="O321" s="779"/>
      <c r="P321" s="779"/>
      <c r="Q321" s="779"/>
      <c r="R321" s="779"/>
      <c r="S321" s="779"/>
      <c r="T321" s="779"/>
      <c r="U321" s="779"/>
      <c r="V321" s="779"/>
      <c r="W321" s="779"/>
      <c r="X321" s="779"/>
      <c r="Y321" s="779"/>
      <c r="Z321" s="779"/>
      <c r="AA321" s="779"/>
      <c r="AB321" s="779"/>
      <c r="AC321" s="779"/>
      <c r="AD321" s="779"/>
      <c r="AE321" s="779"/>
      <c r="AF321" s="779"/>
      <c r="AG321" s="779"/>
      <c r="AH321" s="779"/>
      <c r="AI321" s="779"/>
      <c r="AJ321" s="779"/>
      <c r="AK321" s="779"/>
      <c r="AL321" s="779"/>
      <c r="AM321" s="780"/>
      <c r="AN321" s="780"/>
      <c r="AO321" s="781"/>
      <c r="AP321" s="781"/>
      <c r="AQ321" s="799">
        <v>404</v>
      </c>
      <c r="AR321" s="607"/>
      <c r="AS321" s="65">
        <v>500</v>
      </c>
      <c r="AT321" s="800">
        <v>404</v>
      </c>
      <c r="AU321" s="780"/>
      <c r="AV321" s="780"/>
      <c r="AW321" s="147"/>
    </row>
    <row r="322" spans="1:49" ht="55.5" customHeight="1" x14ac:dyDescent="0.25">
      <c r="A322" s="776">
        <v>3</v>
      </c>
      <c r="B322" s="777" t="s">
        <v>2050</v>
      </c>
      <c r="C322" s="715" t="s">
        <v>1897</v>
      </c>
      <c r="D322" s="717" t="s">
        <v>2051</v>
      </c>
      <c r="E322" s="790" t="s">
        <v>61</v>
      </c>
      <c r="F322" s="450"/>
      <c r="G322" s="779"/>
      <c r="H322" s="779"/>
      <c r="I322" s="779"/>
      <c r="J322" s="779"/>
      <c r="K322" s="779"/>
      <c r="L322" s="779"/>
      <c r="M322" s="779"/>
      <c r="N322" s="779"/>
      <c r="O322" s="779"/>
      <c r="P322" s="779"/>
      <c r="Q322" s="779"/>
      <c r="R322" s="779"/>
      <c r="S322" s="779"/>
      <c r="T322" s="779"/>
      <c r="U322" s="779"/>
      <c r="V322" s="779"/>
      <c r="W322" s="779"/>
      <c r="X322" s="779"/>
      <c r="Y322" s="779"/>
      <c r="Z322" s="779"/>
      <c r="AA322" s="779"/>
      <c r="AB322" s="779"/>
      <c r="AC322" s="779"/>
      <c r="AD322" s="779"/>
      <c r="AE322" s="779"/>
      <c r="AF322" s="779"/>
      <c r="AG322" s="779"/>
      <c r="AH322" s="779"/>
      <c r="AI322" s="779"/>
      <c r="AJ322" s="779"/>
      <c r="AK322" s="779"/>
      <c r="AL322" s="779"/>
      <c r="AM322" s="780"/>
      <c r="AN322" s="780"/>
      <c r="AO322" s="781"/>
      <c r="AP322" s="781"/>
      <c r="AQ322" s="799">
        <v>778</v>
      </c>
      <c r="AR322" s="607"/>
      <c r="AS322" s="65">
        <v>882</v>
      </c>
      <c r="AT322" s="800">
        <v>778</v>
      </c>
      <c r="AU322" s="780"/>
      <c r="AV322" s="780"/>
      <c r="AW322" s="147"/>
    </row>
    <row r="323" spans="1:49" ht="53.25" customHeight="1" x14ac:dyDescent="0.25">
      <c r="A323" s="776">
        <v>4</v>
      </c>
      <c r="B323" s="777" t="s">
        <v>2052</v>
      </c>
      <c r="C323" s="717" t="s">
        <v>2053</v>
      </c>
      <c r="D323" s="717" t="s">
        <v>2054</v>
      </c>
      <c r="E323" s="790" t="s">
        <v>61</v>
      </c>
      <c r="F323" s="450"/>
      <c r="G323" s="779"/>
      <c r="H323" s="779"/>
      <c r="I323" s="779"/>
      <c r="J323" s="779"/>
      <c r="K323" s="779"/>
      <c r="L323" s="779"/>
      <c r="M323" s="779"/>
      <c r="N323" s="779"/>
      <c r="O323" s="779"/>
      <c r="P323" s="779"/>
      <c r="Q323" s="779"/>
      <c r="R323" s="779"/>
      <c r="S323" s="779"/>
      <c r="T323" s="779"/>
      <c r="U323" s="779"/>
      <c r="V323" s="779"/>
      <c r="W323" s="779"/>
      <c r="X323" s="779"/>
      <c r="Y323" s="779"/>
      <c r="Z323" s="779"/>
      <c r="AA323" s="779"/>
      <c r="AB323" s="779"/>
      <c r="AC323" s="779"/>
      <c r="AD323" s="779"/>
      <c r="AE323" s="779"/>
      <c r="AF323" s="779"/>
      <c r="AG323" s="779"/>
      <c r="AH323" s="779"/>
      <c r="AI323" s="779"/>
      <c r="AJ323" s="779"/>
      <c r="AK323" s="779"/>
      <c r="AL323" s="779"/>
      <c r="AM323" s="780"/>
      <c r="AN323" s="780"/>
      <c r="AO323" s="781"/>
      <c r="AP323" s="781"/>
      <c r="AQ323" s="799">
        <v>104</v>
      </c>
      <c r="AR323" s="607"/>
      <c r="AS323" s="65">
        <v>200</v>
      </c>
      <c r="AT323" s="800">
        <v>104</v>
      </c>
      <c r="AU323" s="780"/>
      <c r="AV323" s="780"/>
      <c r="AW323" s="147"/>
    </row>
    <row r="324" spans="1:49" ht="55.5" customHeight="1" x14ac:dyDescent="0.25">
      <c r="A324" s="776">
        <v>5</v>
      </c>
      <c r="B324" s="777" t="s">
        <v>2055</v>
      </c>
      <c r="C324" s="717" t="s">
        <v>2053</v>
      </c>
      <c r="D324" s="717" t="s">
        <v>2056</v>
      </c>
      <c r="E324" s="790" t="s">
        <v>61</v>
      </c>
      <c r="F324" s="450"/>
      <c r="G324" s="779"/>
      <c r="H324" s="779"/>
      <c r="I324" s="779"/>
      <c r="J324" s="779"/>
      <c r="K324" s="779"/>
      <c r="L324" s="779"/>
      <c r="M324" s="779"/>
      <c r="N324" s="779"/>
      <c r="O324" s="779"/>
      <c r="P324" s="779"/>
      <c r="Q324" s="779"/>
      <c r="R324" s="779"/>
      <c r="S324" s="779"/>
      <c r="T324" s="779"/>
      <c r="U324" s="779"/>
      <c r="V324" s="779"/>
      <c r="W324" s="779"/>
      <c r="X324" s="779"/>
      <c r="Y324" s="779"/>
      <c r="Z324" s="779"/>
      <c r="AA324" s="779"/>
      <c r="AB324" s="779"/>
      <c r="AC324" s="779"/>
      <c r="AD324" s="779"/>
      <c r="AE324" s="779"/>
      <c r="AF324" s="779"/>
      <c r="AG324" s="779"/>
      <c r="AH324" s="779"/>
      <c r="AI324" s="779"/>
      <c r="AJ324" s="779"/>
      <c r="AK324" s="779"/>
      <c r="AL324" s="779"/>
      <c r="AM324" s="780"/>
      <c r="AN324" s="780"/>
      <c r="AO324" s="781"/>
      <c r="AP324" s="781"/>
      <c r="AQ324" s="799">
        <v>106</v>
      </c>
      <c r="AR324" s="607"/>
      <c r="AS324" s="65">
        <v>200</v>
      </c>
      <c r="AT324" s="800">
        <v>106</v>
      </c>
      <c r="AU324" s="780"/>
      <c r="AV324" s="780"/>
      <c r="AW324" s="147"/>
    </row>
    <row r="325" spans="1:49" ht="67.5" customHeight="1" x14ac:dyDescent="0.25">
      <c r="A325" s="776">
        <v>6</v>
      </c>
      <c r="B325" s="777" t="s">
        <v>2057</v>
      </c>
      <c r="C325" s="717" t="s">
        <v>2053</v>
      </c>
      <c r="D325" s="717" t="s">
        <v>2058</v>
      </c>
      <c r="E325" s="790" t="s">
        <v>61</v>
      </c>
      <c r="F325" s="450"/>
      <c r="G325" s="779"/>
      <c r="H325" s="779"/>
      <c r="I325" s="779"/>
      <c r="J325" s="779"/>
      <c r="K325" s="779"/>
      <c r="L325" s="779"/>
      <c r="M325" s="779"/>
      <c r="N325" s="779"/>
      <c r="O325" s="779"/>
      <c r="P325" s="779"/>
      <c r="Q325" s="779"/>
      <c r="R325" s="779"/>
      <c r="S325" s="779"/>
      <c r="T325" s="779"/>
      <c r="U325" s="779"/>
      <c r="V325" s="779"/>
      <c r="W325" s="779"/>
      <c r="X325" s="779"/>
      <c r="Y325" s="779"/>
      <c r="Z325" s="779"/>
      <c r="AA325" s="779"/>
      <c r="AB325" s="779"/>
      <c r="AC325" s="779"/>
      <c r="AD325" s="779"/>
      <c r="AE325" s="779"/>
      <c r="AF325" s="779"/>
      <c r="AG325" s="779"/>
      <c r="AH325" s="779"/>
      <c r="AI325" s="779"/>
      <c r="AJ325" s="779"/>
      <c r="AK325" s="779"/>
      <c r="AL325" s="779"/>
      <c r="AM325" s="780"/>
      <c r="AN325" s="780"/>
      <c r="AO325" s="781"/>
      <c r="AP325" s="781"/>
      <c r="AQ325" s="799">
        <v>200</v>
      </c>
      <c r="AR325" s="607"/>
      <c r="AS325" s="65">
        <v>200</v>
      </c>
      <c r="AT325" s="800">
        <v>200</v>
      </c>
      <c r="AU325" s="780"/>
      <c r="AV325" s="780"/>
      <c r="AW325" s="147"/>
    </row>
    <row r="326" spans="1:49" ht="78.75" x14ac:dyDescent="0.25">
      <c r="A326" s="776">
        <v>7</v>
      </c>
      <c r="B326" s="777" t="s">
        <v>2059</v>
      </c>
      <c r="C326" s="717" t="s">
        <v>2053</v>
      </c>
      <c r="D326" s="717" t="s">
        <v>2060</v>
      </c>
      <c r="E326" s="790" t="s">
        <v>61</v>
      </c>
      <c r="F326" s="450"/>
      <c r="G326" s="779"/>
      <c r="H326" s="779"/>
      <c r="I326" s="779"/>
      <c r="J326" s="779"/>
      <c r="K326" s="779"/>
      <c r="L326" s="779"/>
      <c r="M326" s="779"/>
      <c r="N326" s="779"/>
      <c r="O326" s="779"/>
      <c r="P326" s="779"/>
      <c r="Q326" s="779"/>
      <c r="R326" s="779"/>
      <c r="S326" s="779"/>
      <c r="T326" s="779"/>
      <c r="U326" s="779"/>
      <c r="V326" s="779"/>
      <c r="W326" s="779"/>
      <c r="X326" s="779"/>
      <c r="Y326" s="779"/>
      <c r="Z326" s="779"/>
      <c r="AA326" s="779"/>
      <c r="AB326" s="779"/>
      <c r="AC326" s="779"/>
      <c r="AD326" s="779"/>
      <c r="AE326" s="779"/>
      <c r="AF326" s="779"/>
      <c r="AG326" s="779"/>
      <c r="AH326" s="779"/>
      <c r="AI326" s="779"/>
      <c r="AJ326" s="779"/>
      <c r="AK326" s="779"/>
      <c r="AL326" s="779"/>
      <c r="AM326" s="780"/>
      <c r="AN326" s="780"/>
      <c r="AO326" s="781"/>
      <c r="AP326" s="781"/>
      <c r="AQ326" s="799">
        <v>200</v>
      </c>
      <c r="AR326" s="607"/>
      <c r="AS326" s="65">
        <v>200</v>
      </c>
      <c r="AT326" s="800">
        <v>200</v>
      </c>
      <c r="AU326" s="780"/>
      <c r="AV326" s="780"/>
      <c r="AW326" s="147"/>
    </row>
    <row r="327" spans="1:49" ht="31.5" x14ac:dyDescent="0.25">
      <c r="A327" s="776">
        <v>8</v>
      </c>
      <c r="B327" s="777" t="s">
        <v>2061</v>
      </c>
      <c r="C327" s="717" t="s">
        <v>2062</v>
      </c>
      <c r="D327" s="717" t="s">
        <v>2063</v>
      </c>
      <c r="E327" s="790" t="s">
        <v>61</v>
      </c>
      <c r="F327" s="450"/>
      <c r="G327" s="779"/>
      <c r="H327" s="779"/>
      <c r="I327" s="779"/>
      <c r="J327" s="779"/>
      <c r="K327" s="779"/>
      <c r="L327" s="779"/>
      <c r="M327" s="779"/>
      <c r="N327" s="779"/>
      <c r="O327" s="779"/>
      <c r="P327" s="779"/>
      <c r="Q327" s="779"/>
      <c r="R327" s="779"/>
      <c r="S327" s="779"/>
      <c r="T327" s="779"/>
      <c r="U327" s="779"/>
      <c r="V327" s="779"/>
      <c r="W327" s="779"/>
      <c r="X327" s="779"/>
      <c r="Y327" s="779"/>
      <c r="Z327" s="779"/>
      <c r="AA327" s="779"/>
      <c r="AB327" s="779"/>
      <c r="AC327" s="779"/>
      <c r="AD327" s="779"/>
      <c r="AE327" s="779"/>
      <c r="AF327" s="779"/>
      <c r="AG327" s="779"/>
      <c r="AH327" s="779"/>
      <c r="AI327" s="779"/>
      <c r="AJ327" s="779"/>
      <c r="AK327" s="779"/>
      <c r="AL327" s="779"/>
      <c r="AM327" s="780"/>
      <c r="AN327" s="780"/>
      <c r="AO327" s="781"/>
      <c r="AP327" s="781"/>
      <c r="AQ327" s="799">
        <v>500</v>
      </c>
      <c r="AR327" s="607"/>
      <c r="AS327" s="65">
        <v>500</v>
      </c>
      <c r="AT327" s="800">
        <v>500</v>
      </c>
      <c r="AU327" s="780"/>
      <c r="AV327" s="780"/>
      <c r="AW327" s="147"/>
    </row>
    <row r="328" spans="1:49" ht="78.75" x14ac:dyDescent="0.25">
      <c r="A328" s="776">
        <v>9</v>
      </c>
      <c r="B328" s="777" t="s">
        <v>2064</v>
      </c>
      <c r="C328" s="717" t="s">
        <v>2062</v>
      </c>
      <c r="D328" s="717" t="s">
        <v>2065</v>
      </c>
      <c r="E328" s="790" t="s">
        <v>61</v>
      </c>
      <c r="F328" s="450"/>
      <c r="G328" s="779"/>
      <c r="H328" s="779"/>
      <c r="I328" s="779"/>
      <c r="J328" s="779"/>
      <c r="K328" s="779"/>
      <c r="L328" s="779"/>
      <c r="M328" s="779"/>
      <c r="N328" s="779"/>
      <c r="O328" s="779"/>
      <c r="P328" s="779"/>
      <c r="Q328" s="779"/>
      <c r="R328" s="779"/>
      <c r="S328" s="779"/>
      <c r="T328" s="779"/>
      <c r="U328" s="779"/>
      <c r="V328" s="779"/>
      <c r="W328" s="779"/>
      <c r="X328" s="779"/>
      <c r="Y328" s="779"/>
      <c r="Z328" s="779"/>
      <c r="AA328" s="779"/>
      <c r="AB328" s="779"/>
      <c r="AC328" s="779"/>
      <c r="AD328" s="779"/>
      <c r="AE328" s="779"/>
      <c r="AF328" s="779"/>
      <c r="AG328" s="779"/>
      <c r="AH328" s="779"/>
      <c r="AI328" s="779"/>
      <c r="AJ328" s="779"/>
      <c r="AK328" s="779"/>
      <c r="AL328" s="779"/>
      <c r="AM328" s="780"/>
      <c r="AN328" s="780"/>
      <c r="AO328" s="781"/>
      <c r="AP328" s="781"/>
      <c r="AQ328" s="799">
        <v>500</v>
      </c>
      <c r="AR328" s="607"/>
      <c r="AS328" s="65">
        <v>500</v>
      </c>
      <c r="AT328" s="800">
        <v>500</v>
      </c>
      <c r="AU328" s="780"/>
      <c r="AV328" s="780"/>
      <c r="AW328" s="147"/>
    </row>
    <row r="329" spans="1:49" ht="78.75" x14ac:dyDescent="0.25">
      <c r="A329" s="776">
        <v>10</v>
      </c>
      <c r="B329" s="777" t="s">
        <v>2066</v>
      </c>
      <c r="C329" s="717" t="s">
        <v>2062</v>
      </c>
      <c r="D329" s="717" t="s">
        <v>2065</v>
      </c>
      <c r="E329" s="790" t="s">
        <v>61</v>
      </c>
      <c r="F329" s="450"/>
      <c r="G329" s="779"/>
      <c r="H329" s="779"/>
      <c r="I329" s="779"/>
      <c r="J329" s="779"/>
      <c r="K329" s="779"/>
      <c r="L329" s="779"/>
      <c r="M329" s="779"/>
      <c r="N329" s="779"/>
      <c r="O329" s="779"/>
      <c r="P329" s="779"/>
      <c r="Q329" s="779"/>
      <c r="R329" s="779"/>
      <c r="S329" s="779"/>
      <c r="T329" s="779"/>
      <c r="U329" s="779"/>
      <c r="V329" s="779"/>
      <c r="W329" s="779"/>
      <c r="X329" s="779"/>
      <c r="Y329" s="779"/>
      <c r="Z329" s="779"/>
      <c r="AA329" s="779"/>
      <c r="AB329" s="779"/>
      <c r="AC329" s="779"/>
      <c r="AD329" s="779"/>
      <c r="AE329" s="779"/>
      <c r="AF329" s="779"/>
      <c r="AG329" s="779"/>
      <c r="AH329" s="779"/>
      <c r="AI329" s="779"/>
      <c r="AJ329" s="779"/>
      <c r="AK329" s="779"/>
      <c r="AL329" s="779"/>
      <c r="AM329" s="780"/>
      <c r="AN329" s="780"/>
      <c r="AO329" s="781"/>
      <c r="AP329" s="781"/>
      <c r="AQ329" s="799">
        <v>503</v>
      </c>
      <c r="AR329" s="607"/>
      <c r="AS329" s="65">
        <v>503</v>
      </c>
      <c r="AT329" s="800">
        <v>503</v>
      </c>
      <c r="AU329" s="780"/>
      <c r="AV329" s="780"/>
      <c r="AW329" s="147"/>
    </row>
    <row r="330" spans="1:49" ht="78.75" x14ac:dyDescent="0.25">
      <c r="A330" s="776">
        <v>11</v>
      </c>
      <c r="B330" s="777" t="s">
        <v>2067</v>
      </c>
      <c r="C330" s="717" t="s">
        <v>2062</v>
      </c>
      <c r="D330" s="717" t="s">
        <v>2065</v>
      </c>
      <c r="E330" s="790" t="s">
        <v>61</v>
      </c>
      <c r="F330" s="450"/>
      <c r="G330" s="779"/>
      <c r="H330" s="779"/>
      <c r="I330" s="779"/>
      <c r="J330" s="779"/>
      <c r="K330" s="779"/>
      <c r="L330" s="779"/>
      <c r="M330" s="779"/>
      <c r="N330" s="779"/>
      <c r="O330" s="779"/>
      <c r="P330" s="779"/>
      <c r="Q330" s="779"/>
      <c r="R330" s="779"/>
      <c r="S330" s="779"/>
      <c r="T330" s="779"/>
      <c r="U330" s="779"/>
      <c r="V330" s="779"/>
      <c r="W330" s="779"/>
      <c r="X330" s="779"/>
      <c r="Y330" s="779"/>
      <c r="Z330" s="779"/>
      <c r="AA330" s="779"/>
      <c r="AB330" s="779"/>
      <c r="AC330" s="779"/>
      <c r="AD330" s="779"/>
      <c r="AE330" s="779"/>
      <c r="AF330" s="779"/>
      <c r="AG330" s="779"/>
      <c r="AH330" s="779"/>
      <c r="AI330" s="779"/>
      <c r="AJ330" s="779"/>
      <c r="AK330" s="779"/>
      <c r="AL330" s="779"/>
      <c r="AM330" s="780"/>
      <c r="AN330" s="780"/>
      <c r="AO330" s="781"/>
      <c r="AP330" s="781"/>
      <c r="AQ330" s="799">
        <v>500</v>
      </c>
      <c r="AR330" s="607"/>
      <c r="AS330" s="65">
        <v>500</v>
      </c>
      <c r="AT330" s="800">
        <v>500</v>
      </c>
      <c r="AU330" s="780"/>
      <c r="AV330" s="780"/>
      <c r="AW330" s="147"/>
    </row>
    <row r="331" spans="1:49" ht="78.75" x14ac:dyDescent="0.25">
      <c r="A331" s="776">
        <v>12</v>
      </c>
      <c r="B331" s="777" t="s">
        <v>2068</v>
      </c>
      <c r="C331" s="717" t="s">
        <v>2062</v>
      </c>
      <c r="D331" s="717" t="s">
        <v>2069</v>
      </c>
      <c r="E331" s="790" t="s">
        <v>61</v>
      </c>
      <c r="F331" s="450"/>
      <c r="G331" s="779"/>
      <c r="H331" s="779"/>
      <c r="I331" s="779"/>
      <c r="J331" s="779"/>
      <c r="K331" s="779"/>
      <c r="L331" s="779"/>
      <c r="M331" s="779"/>
      <c r="N331" s="779"/>
      <c r="O331" s="779"/>
      <c r="P331" s="779"/>
      <c r="Q331" s="779"/>
      <c r="R331" s="779"/>
      <c r="S331" s="779"/>
      <c r="T331" s="779"/>
      <c r="U331" s="779"/>
      <c r="V331" s="779"/>
      <c r="W331" s="779"/>
      <c r="X331" s="779"/>
      <c r="Y331" s="779"/>
      <c r="Z331" s="779"/>
      <c r="AA331" s="779"/>
      <c r="AB331" s="779"/>
      <c r="AC331" s="779"/>
      <c r="AD331" s="779"/>
      <c r="AE331" s="779"/>
      <c r="AF331" s="779"/>
      <c r="AG331" s="779"/>
      <c r="AH331" s="779"/>
      <c r="AI331" s="779"/>
      <c r="AJ331" s="779"/>
      <c r="AK331" s="779"/>
      <c r="AL331" s="779"/>
      <c r="AM331" s="780"/>
      <c r="AN331" s="780"/>
      <c r="AO331" s="781"/>
      <c r="AP331" s="781"/>
      <c r="AQ331" s="799">
        <v>800</v>
      </c>
      <c r="AR331" s="607"/>
      <c r="AS331" s="65">
        <v>800</v>
      </c>
      <c r="AT331" s="800">
        <v>800</v>
      </c>
      <c r="AU331" s="780"/>
      <c r="AV331" s="780"/>
      <c r="AW331" s="147"/>
    </row>
    <row r="332" spans="1:49" ht="63" x14ac:dyDescent="0.25">
      <c r="A332" s="776">
        <v>13</v>
      </c>
      <c r="B332" s="777" t="s">
        <v>2070</v>
      </c>
      <c r="C332" s="717" t="s">
        <v>2071</v>
      </c>
      <c r="D332" s="717" t="s">
        <v>2072</v>
      </c>
      <c r="E332" s="790" t="s">
        <v>61</v>
      </c>
      <c r="F332" s="450"/>
      <c r="G332" s="779"/>
      <c r="H332" s="779"/>
      <c r="I332" s="779"/>
      <c r="J332" s="779"/>
      <c r="K332" s="779"/>
      <c r="L332" s="779"/>
      <c r="M332" s="779"/>
      <c r="N332" s="779"/>
      <c r="O332" s="779"/>
      <c r="P332" s="779"/>
      <c r="Q332" s="779"/>
      <c r="R332" s="779"/>
      <c r="S332" s="779"/>
      <c r="T332" s="779"/>
      <c r="U332" s="779"/>
      <c r="V332" s="779"/>
      <c r="W332" s="779"/>
      <c r="X332" s="779"/>
      <c r="Y332" s="779"/>
      <c r="Z332" s="779"/>
      <c r="AA332" s="779"/>
      <c r="AB332" s="779"/>
      <c r="AC332" s="779"/>
      <c r="AD332" s="779"/>
      <c r="AE332" s="779"/>
      <c r="AF332" s="779"/>
      <c r="AG332" s="779"/>
      <c r="AH332" s="779"/>
      <c r="AI332" s="779"/>
      <c r="AJ332" s="779"/>
      <c r="AK332" s="779"/>
      <c r="AL332" s="779"/>
      <c r="AM332" s="780"/>
      <c r="AN332" s="780"/>
      <c r="AO332" s="781"/>
      <c r="AP332" s="781"/>
      <c r="AQ332" s="799">
        <v>200</v>
      </c>
      <c r="AR332" s="607"/>
      <c r="AS332" s="65">
        <v>200</v>
      </c>
      <c r="AT332" s="800">
        <v>200</v>
      </c>
      <c r="AU332" s="780"/>
      <c r="AV332" s="780"/>
      <c r="AW332" s="147"/>
    </row>
    <row r="333" spans="1:49" ht="63" x14ac:dyDescent="0.25">
      <c r="A333" s="776">
        <v>14</v>
      </c>
      <c r="B333" s="777" t="s">
        <v>2073</v>
      </c>
      <c r="C333" s="717" t="s">
        <v>2071</v>
      </c>
      <c r="D333" s="717" t="s">
        <v>2072</v>
      </c>
      <c r="E333" s="790" t="s">
        <v>61</v>
      </c>
      <c r="F333" s="450"/>
      <c r="G333" s="779"/>
      <c r="H333" s="779"/>
      <c r="I333" s="779"/>
      <c r="J333" s="779"/>
      <c r="K333" s="779"/>
      <c r="L333" s="779"/>
      <c r="M333" s="779"/>
      <c r="N333" s="779"/>
      <c r="O333" s="779"/>
      <c r="P333" s="779"/>
      <c r="Q333" s="779"/>
      <c r="R333" s="779"/>
      <c r="S333" s="779"/>
      <c r="T333" s="779"/>
      <c r="U333" s="779"/>
      <c r="V333" s="779"/>
      <c r="W333" s="779"/>
      <c r="X333" s="779"/>
      <c r="Y333" s="779"/>
      <c r="Z333" s="779"/>
      <c r="AA333" s="779"/>
      <c r="AB333" s="779"/>
      <c r="AC333" s="779"/>
      <c r="AD333" s="779"/>
      <c r="AE333" s="779"/>
      <c r="AF333" s="779"/>
      <c r="AG333" s="779"/>
      <c r="AH333" s="779"/>
      <c r="AI333" s="779"/>
      <c r="AJ333" s="779"/>
      <c r="AK333" s="779"/>
      <c r="AL333" s="779"/>
      <c r="AM333" s="780"/>
      <c r="AN333" s="780"/>
      <c r="AO333" s="781"/>
      <c r="AP333" s="781"/>
      <c r="AQ333" s="799">
        <v>200</v>
      </c>
      <c r="AR333" s="607"/>
      <c r="AS333" s="65">
        <v>200</v>
      </c>
      <c r="AT333" s="800">
        <v>200</v>
      </c>
      <c r="AU333" s="780"/>
      <c r="AV333" s="780"/>
      <c r="AW333" s="147"/>
    </row>
    <row r="334" spans="1:49" ht="63" x14ac:dyDescent="0.25">
      <c r="A334" s="776">
        <v>15</v>
      </c>
      <c r="B334" s="777" t="s">
        <v>2074</v>
      </c>
      <c r="C334" s="717" t="s">
        <v>2071</v>
      </c>
      <c r="D334" s="717" t="s">
        <v>2072</v>
      </c>
      <c r="E334" s="790" t="s">
        <v>61</v>
      </c>
      <c r="F334" s="450"/>
      <c r="G334" s="779"/>
      <c r="H334" s="779"/>
      <c r="I334" s="779"/>
      <c r="J334" s="779"/>
      <c r="K334" s="779"/>
      <c r="L334" s="779"/>
      <c r="M334" s="779"/>
      <c r="N334" s="779"/>
      <c r="O334" s="779"/>
      <c r="P334" s="779"/>
      <c r="Q334" s="779"/>
      <c r="R334" s="779"/>
      <c r="S334" s="779"/>
      <c r="T334" s="779"/>
      <c r="U334" s="779"/>
      <c r="V334" s="779"/>
      <c r="W334" s="779"/>
      <c r="X334" s="779"/>
      <c r="Y334" s="779"/>
      <c r="Z334" s="779"/>
      <c r="AA334" s="779"/>
      <c r="AB334" s="779"/>
      <c r="AC334" s="779"/>
      <c r="AD334" s="779"/>
      <c r="AE334" s="779"/>
      <c r="AF334" s="779"/>
      <c r="AG334" s="779"/>
      <c r="AH334" s="779"/>
      <c r="AI334" s="779"/>
      <c r="AJ334" s="779"/>
      <c r="AK334" s="779"/>
      <c r="AL334" s="779"/>
      <c r="AM334" s="780"/>
      <c r="AN334" s="780"/>
      <c r="AO334" s="781"/>
      <c r="AP334" s="781"/>
      <c r="AQ334" s="799">
        <v>200</v>
      </c>
      <c r="AR334" s="607"/>
      <c r="AS334" s="65">
        <v>200</v>
      </c>
      <c r="AT334" s="800">
        <v>200</v>
      </c>
      <c r="AU334" s="780"/>
      <c r="AV334" s="780"/>
      <c r="AW334" s="147"/>
    </row>
    <row r="335" spans="1:49" ht="47.25" x14ac:dyDescent="0.25">
      <c r="A335" s="776">
        <v>16</v>
      </c>
      <c r="B335" s="777" t="s">
        <v>2075</v>
      </c>
      <c r="C335" s="717" t="s">
        <v>2071</v>
      </c>
      <c r="D335" s="717" t="s">
        <v>2076</v>
      </c>
      <c r="E335" s="790" t="s">
        <v>61</v>
      </c>
      <c r="F335" s="450"/>
      <c r="G335" s="779"/>
      <c r="H335" s="779"/>
      <c r="I335" s="779"/>
      <c r="J335" s="779"/>
      <c r="K335" s="779"/>
      <c r="L335" s="779"/>
      <c r="M335" s="779"/>
      <c r="N335" s="779"/>
      <c r="O335" s="779"/>
      <c r="P335" s="779"/>
      <c r="Q335" s="779"/>
      <c r="R335" s="779"/>
      <c r="S335" s="779"/>
      <c r="T335" s="779"/>
      <c r="U335" s="779"/>
      <c r="V335" s="779"/>
      <c r="W335" s="779"/>
      <c r="X335" s="779"/>
      <c r="Y335" s="779"/>
      <c r="Z335" s="779"/>
      <c r="AA335" s="779"/>
      <c r="AB335" s="779"/>
      <c r="AC335" s="779"/>
      <c r="AD335" s="779"/>
      <c r="AE335" s="779"/>
      <c r="AF335" s="779"/>
      <c r="AG335" s="779"/>
      <c r="AH335" s="779"/>
      <c r="AI335" s="779"/>
      <c r="AJ335" s="779"/>
      <c r="AK335" s="779"/>
      <c r="AL335" s="779"/>
      <c r="AM335" s="780"/>
      <c r="AN335" s="780"/>
      <c r="AO335" s="781"/>
      <c r="AP335" s="781"/>
      <c r="AQ335" s="799">
        <v>680</v>
      </c>
      <c r="AR335" s="607"/>
      <c r="AS335" s="65">
        <v>680</v>
      </c>
      <c r="AT335" s="800">
        <v>680</v>
      </c>
      <c r="AU335" s="780"/>
      <c r="AV335" s="780"/>
      <c r="AW335" s="147"/>
    </row>
    <row r="336" spans="1:49" ht="52.5" customHeight="1" x14ac:dyDescent="0.25">
      <c r="A336" s="776">
        <v>17</v>
      </c>
      <c r="B336" s="777" t="s">
        <v>2077</v>
      </c>
      <c r="C336" s="717" t="s">
        <v>2078</v>
      </c>
      <c r="D336" s="717" t="s">
        <v>2079</v>
      </c>
      <c r="E336" s="790" t="s">
        <v>61</v>
      </c>
      <c r="F336" s="450"/>
      <c r="G336" s="779"/>
      <c r="H336" s="779"/>
      <c r="I336" s="779"/>
      <c r="J336" s="779"/>
      <c r="K336" s="779"/>
      <c r="L336" s="779"/>
      <c r="M336" s="779"/>
      <c r="N336" s="779"/>
      <c r="O336" s="779"/>
      <c r="P336" s="779"/>
      <c r="Q336" s="779"/>
      <c r="R336" s="779"/>
      <c r="S336" s="779"/>
      <c r="T336" s="779"/>
      <c r="U336" s="779"/>
      <c r="V336" s="779"/>
      <c r="W336" s="779"/>
      <c r="X336" s="779"/>
      <c r="Y336" s="779"/>
      <c r="Z336" s="779"/>
      <c r="AA336" s="779"/>
      <c r="AB336" s="779"/>
      <c r="AC336" s="779"/>
      <c r="AD336" s="779"/>
      <c r="AE336" s="779"/>
      <c r="AF336" s="779"/>
      <c r="AG336" s="779"/>
      <c r="AH336" s="779"/>
      <c r="AI336" s="779"/>
      <c r="AJ336" s="779"/>
      <c r="AK336" s="779"/>
      <c r="AL336" s="779"/>
      <c r="AM336" s="780"/>
      <c r="AN336" s="780"/>
      <c r="AO336" s="781"/>
      <c r="AP336" s="781"/>
      <c r="AQ336" s="799">
        <v>150</v>
      </c>
      <c r="AR336" s="607"/>
      <c r="AS336" s="65">
        <v>150</v>
      </c>
      <c r="AT336" s="800">
        <v>150</v>
      </c>
      <c r="AU336" s="780"/>
      <c r="AV336" s="780"/>
      <c r="AW336" s="147"/>
    </row>
    <row r="337" spans="1:50" ht="51.75" customHeight="1" x14ac:dyDescent="0.25">
      <c r="A337" s="776">
        <v>18</v>
      </c>
      <c r="B337" s="777" t="s">
        <v>2080</v>
      </c>
      <c r="C337" s="717" t="s">
        <v>2078</v>
      </c>
      <c r="D337" s="717" t="s">
        <v>2081</v>
      </c>
      <c r="E337" s="790" t="s">
        <v>61</v>
      </c>
      <c r="F337" s="450"/>
      <c r="G337" s="779"/>
      <c r="H337" s="779"/>
      <c r="I337" s="779"/>
      <c r="J337" s="779"/>
      <c r="K337" s="779"/>
      <c r="L337" s="779"/>
      <c r="M337" s="779"/>
      <c r="N337" s="779"/>
      <c r="O337" s="779"/>
      <c r="P337" s="779"/>
      <c r="Q337" s="779"/>
      <c r="R337" s="779"/>
      <c r="S337" s="779"/>
      <c r="T337" s="779"/>
      <c r="U337" s="779"/>
      <c r="V337" s="779"/>
      <c r="W337" s="779"/>
      <c r="X337" s="779"/>
      <c r="Y337" s="779"/>
      <c r="Z337" s="779"/>
      <c r="AA337" s="779"/>
      <c r="AB337" s="779"/>
      <c r="AC337" s="779"/>
      <c r="AD337" s="779"/>
      <c r="AE337" s="779"/>
      <c r="AF337" s="779"/>
      <c r="AG337" s="779"/>
      <c r="AH337" s="779"/>
      <c r="AI337" s="779"/>
      <c r="AJ337" s="779"/>
      <c r="AK337" s="779"/>
      <c r="AL337" s="779"/>
      <c r="AM337" s="780"/>
      <c r="AN337" s="780"/>
      <c r="AO337" s="781"/>
      <c r="AP337" s="781"/>
      <c r="AQ337" s="799">
        <v>150</v>
      </c>
      <c r="AR337" s="607"/>
      <c r="AS337" s="65">
        <v>150</v>
      </c>
      <c r="AT337" s="800">
        <v>150</v>
      </c>
      <c r="AU337" s="780"/>
      <c r="AV337" s="780"/>
      <c r="AW337" s="147"/>
    </row>
    <row r="338" spans="1:50" ht="43.5" customHeight="1" x14ac:dyDescent="0.25">
      <c r="A338" s="783" t="s">
        <v>2082</v>
      </c>
      <c r="B338" s="713" t="s">
        <v>88</v>
      </c>
      <c r="C338" s="717"/>
      <c r="D338" s="717"/>
      <c r="E338" s="717"/>
      <c r="F338" s="450"/>
      <c r="G338" s="779"/>
      <c r="H338" s="779"/>
      <c r="I338" s="779"/>
      <c r="J338" s="779"/>
      <c r="K338" s="779"/>
      <c r="L338" s="779"/>
      <c r="M338" s="779"/>
      <c r="N338" s="779"/>
      <c r="O338" s="779"/>
      <c r="P338" s="779"/>
      <c r="Q338" s="779"/>
      <c r="R338" s="779"/>
      <c r="S338" s="779"/>
      <c r="T338" s="779"/>
      <c r="U338" s="779"/>
      <c r="V338" s="779"/>
      <c r="W338" s="779"/>
      <c r="X338" s="779"/>
      <c r="Y338" s="779"/>
      <c r="Z338" s="779"/>
      <c r="AA338" s="779"/>
      <c r="AB338" s="779"/>
      <c r="AC338" s="779"/>
      <c r="AD338" s="779"/>
      <c r="AE338" s="779"/>
      <c r="AF338" s="779"/>
      <c r="AG338" s="779"/>
      <c r="AH338" s="779"/>
      <c r="AI338" s="779"/>
      <c r="AJ338" s="779"/>
      <c r="AK338" s="779"/>
      <c r="AL338" s="779"/>
      <c r="AM338" s="774"/>
      <c r="AN338" s="774"/>
      <c r="AO338" s="774">
        <f t="shared" ref="AO338:AV338" si="38">SUM(AO339:AO340)</f>
        <v>0</v>
      </c>
      <c r="AP338" s="774">
        <f t="shared" si="38"/>
        <v>0</v>
      </c>
      <c r="AQ338" s="774">
        <f t="shared" si="38"/>
        <v>4777</v>
      </c>
      <c r="AR338" s="774">
        <f t="shared" si="38"/>
        <v>0</v>
      </c>
      <c r="AS338" s="774">
        <f t="shared" si="38"/>
        <v>5165</v>
      </c>
      <c r="AT338" s="774">
        <f t="shared" si="38"/>
        <v>4777</v>
      </c>
      <c r="AU338" s="774">
        <f t="shared" si="38"/>
        <v>0</v>
      </c>
      <c r="AV338" s="774">
        <f t="shared" si="38"/>
        <v>0</v>
      </c>
      <c r="AW338" s="801" t="s">
        <v>2083</v>
      </c>
    </row>
    <row r="339" spans="1:50" ht="41.25" customHeight="1" x14ac:dyDescent="0.25">
      <c r="A339" s="776">
        <v>1</v>
      </c>
      <c r="B339" s="777" t="s">
        <v>2084</v>
      </c>
      <c r="C339" s="717" t="s">
        <v>2085</v>
      </c>
      <c r="D339" s="717" t="s">
        <v>2086</v>
      </c>
      <c r="E339" s="717" t="s">
        <v>61</v>
      </c>
      <c r="F339" s="450"/>
      <c r="G339" s="779"/>
      <c r="H339" s="779"/>
      <c r="I339" s="779"/>
      <c r="J339" s="779"/>
      <c r="K339" s="779"/>
      <c r="L339" s="779"/>
      <c r="M339" s="779"/>
      <c r="N339" s="779"/>
      <c r="O339" s="779"/>
      <c r="P339" s="779"/>
      <c r="Q339" s="779"/>
      <c r="R339" s="779"/>
      <c r="S339" s="779"/>
      <c r="T339" s="779"/>
      <c r="U339" s="779"/>
      <c r="V339" s="779"/>
      <c r="W339" s="779"/>
      <c r="X339" s="779"/>
      <c r="Y339" s="779"/>
      <c r="Z339" s="779"/>
      <c r="AA339" s="779"/>
      <c r="AB339" s="779"/>
      <c r="AC339" s="779"/>
      <c r="AD339" s="779"/>
      <c r="AE339" s="779"/>
      <c r="AF339" s="779"/>
      <c r="AG339" s="779"/>
      <c r="AH339" s="779"/>
      <c r="AI339" s="779"/>
      <c r="AJ339" s="779"/>
      <c r="AK339" s="779"/>
      <c r="AL339" s="779"/>
      <c r="AM339" s="780"/>
      <c r="AN339" s="780"/>
      <c r="AO339" s="781"/>
      <c r="AP339" s="781"/>
      <c r="AQ339" s="802">
        <v>1385</v>
      </c>
      <c r="AR339" s="607"/>
      <c r="AS339" s="800">
        <v>1400</v>
      </c>
      <c r="AT339" s="803">
        <v>1385</v>
      </c>
      <c r="AU339" s="804"/>
      <c r="AV339" s="804"/>
      <c r="AW339" s="735"/>
    </row>
    <row r="340" spans="1:50" ht="31.5" x14ac:dyDescent="0.25">
      <c r="A340" s="776">
        <v>2</v>
      </c>
      <c r="B340" s="777" t="s">
        <v>2087</v>
      </c>
      <c r="C340" s="717" t="s">
        <v>1525</v>
      </c>
      <c r="D340" s="717" t="s">
        <v>2088</v>
      </c>
      <c r="E340" s="717" t="s">
        <v>61</v>
      </c>
      <c r="F340" s="450"/>
      <c r="G340" s="779"/>
      <c r="H340" s="779"/>
      <c r="I340" s="779"/>
      <c r="J340" s="779"/>
      <c r="K340" s="779"/>
      <c r="L340" s="779"/>
      <c r="M340" s="779"/>
      <c r="N340" s="779"/>
      <c r="O340" s="779"/>
      <c r="P340" s="779"/>
      <c r="Q340" s="779"/>
      <c r="R340" s="779"/>
      <c r="S340" s="779"/>
      <c r="T340" s="779"/>
      <c r="U340" s="779"/>
      <c r="V340" s="779"/>
      <c r="W340" s="779"/>
      <c r="X340" s="779"/>
      <c r="Y340" s="779"/>
      <c r="Z340" s="779"/>
      <c r="AA340" s="779"/>
      <c r="AB340" s="779"/>
      <c r="AC340" s="779"/>
      <c r="AD340" s="779"/>
      <c r="AE340" s="779"/>
      <c r="AF340" s="779"/>
      <c r="AG340" s="779"/>
      <c r="AH340" s="779"/>
      <c r="AI340" s="779"/>
      <c r="AJ340" s="779"/>
      <c r="AK340" s="779"/>
      <c r="AL340" s="779"/>
      <c r="AM340" s="780"/>
      <c r="AN340" s="780"/>
      <c r="AO340" s="781"/>
      <c r="AP340" s="781"/>
      <c r="AQ340" s="802">
        <v>3392</v>
      </c>
      <c r="AR340" s="607"/>
      <c r="AS340" s="800">
        <v>3765</v>
      </c>
      <c r="AT340" s="803">
        <f>AQ340</f>
        <v>3392</v>
      </c>
      <c r="AU340" s="804"/>
      <c r="AV340" s="804"/>
      <c r="AW340" s="735"/>
    </row>
    <row r="341" spans="1:50" ht="36.75" customHeight="1" x14ac:dyDescent="0.25">
      <c r="A341" s="783" t="s">
        <v>2089</v>
      </c>
      <c r="B341" s="713" t="s">
        <v>2090</v>
      </c>
      <c r="C341" s="717"/>
      <c r="D341" s="717"/>
      <c r="E341" s="717"/>
      <c r="F341" s="450"/>
      <c r="G341" s="779"/>
      <c r="H341" s="779"/>
      <c r="I341" s="779"/>
      <c r="J341" s="779"/>
      <c r="K341" s="779"/>
      <c r="L341" s="779"/>
      <c r="M341" s="779"/>
      <c r="N341" s="779"/>
      <c r="O341" s="779"/>
      <c r="P341" s="779"/>
      <c r="Q341" s="779"/>
      <c r="R341" s="779"/>
      <c r="S341" s="779"/>
      <c r="T341" s="779"/>
      <c r="U341" s="779"/>
      <c r="V341" s="779"/>
      <c r="W341" s="779"/>
      <c r="X341" s="779"/>
      <c r="Y341" s="779"/>
      <c r="Z341" s="779"/>
      <c r="AA341" s="779"/>
      <c r="AB341" s="779"/>
      <c r="AC341" s="779"/>
      <c r="AD341" s="779"/>
      <c r="AE341" s="779"/>
      <c r="AF341" s="779"/>
      <c r="AG341" s="779"/>
      <c r="AH341" s="779"/>
      <c r="AI341" s="779"/>
      <c r="AJ341" s="779"/>
      <c r="AK341" s="779"/>
      <c r="AL341" s="779"/>
      <c r="AM341" s="774"/>
      <c r="AN341" s="774"/>
      <c r="AO341" s="774">
        <f t="shared" ref="AO341:AV341" si="39">AO342</f>
        <v>0</v>
      </c>
      <c r="AP341" s="774">
        <f t="shared" si="39"/>
        <v>0</v>
      </c>
      <c r="AQ341" s="805">
        <v>9173</v>
      </c>
      <c r="AR341" s="774"/>
      <c r="AS341" s="774">
        <f t="shared" si="39"/>
        <v>9818</v>
      </c>
      <c r="AT341" s="774">
        <f t="shared" si="39"/>
        <v>9173</v>
      </c>
      <c r="AU341" s="774">
        <f t="shared" si="39"/>
        <v>0</v>
      </c>
      <c r="AV341" s="774">
        <f t="shared" si="39"/>
        <v>0</v>
      </c>
      <c r="AW341" s="801" t="s">
        <v>2091</v>
      </c>
    </row>
    <row r="342" spans="1:50" s="793" customFormat="1" ht="47.25" x14ac:dyDescent="0.25">
      <c r="A342" s="776">
        <v>1</v>
      </c>
      <c r="B342" s="777" t="s">
        <v>1741</v>
      </c>
      <c r="C342" s="727" t="s">
        <v>959</v>
      </c>
      <c r="D342" s="727" t="s">
        <v>2092</v>
      </c>
      <c r="E342" s="717" t="s">
        <v>61</v>
      </c>
      <c r="F342" s="450"/>
      <c r="G342" s="779"/>
      <c r="H342" s="779"/>
      <c r="I342" s="779"/>
      <c r="J342" s="779"/>
      <c r="K342" s="779"/>
      <c r="L342" s="779"/>
      <c r="M342" s="779"/>
      <c r="N342" s="779"/>
      <c r="O342" s="779"/>
      <c r="P342" s="779"/>
      <c r="Q342" s="779"/>
      <c r="R342" s="779"/>
      <c r="S342" s="779"/>
      <c r="T342" s="779"/>
      <c r="U342" s="779"/>
      <c r="V342" s="779"/>
      <c r="W342" s="779"/>
      <c r="X342" s="779"/>
      <c r="Y342" s="779"/>
      <c r="Z342" s="779"/>
      <c r="AA342" s="779"/>
      <c r="AB342" s="779"/>
      <c r="AC342" s="779"/>
      <c r="AD342" s="779"/>
      <c r="AE342" s="779"/>
      <c r="AF342" s="779"/>
      <c r="AG342" s="779"/>
      <c r="AH342" s="779"/>
      <c r="AI342" s="779"/>
      <c r="AJ342" s="779"/>
      <c r="AK342" s="779"/>
      <c r="AL342" s="779"/>
      <c r="AM342" s="780"/>
      <c r="AN342" s="780"/>
      <c r="AO342" s="781"/>
      <c r="AP342" s="781"/>
      <c r="AQ342" s="802">
        <v>9173</v>
      </c>
      <c r="AR342" s="607"/>
      <c r="AS342" s="806">
        <v>9818</v>
      </c>
      <c r="AT342" s="803">
        <f>AQ342</f>
        <v>9173</v>
      </c>
      <c r="AU342" s="804"/>
      <c r="AV342" s="804"/>
      <c r="AW342" s="735"/>
      <c r="AX342" s="792"/>
    </row>
  </sheetData>
  <mergeCells count="83">
    <mergeCell ref="A6:A12"/>
    <mergeCell ref="B6:B12"/>
    <mergeCell ref="C6:C12"/>
    <mergeCell ref="D6:D12"/>
    <mergeCell ref="E6:E12"/>
    <mergeCell ref="A1:AW1"/>
    <mergeCell ref="A2:AW2"/>
    <mergeCell ref="A3:AW3"/>
    <mergeCell ref="A4:AW4"/>
    <mergeCell ref="A5:AW5"/>
    <mergeCell ref="F6:H7"/>
    <mergeCell ref="I6:K7"/>
    <mergeCell ref="L6:M7"/>
    <mergeCell ref="N6:O7"/>
    <mergeCell ref="X6:AA7"/>
    <mergeCell ref="AM6:AP7"/>
    <mergeCell ref="AQ6:AR7"/>
    <mergeCell ref="AS6:AV7"/>
    <mergeCell ref="AW6:AW12"/>
    <mergeCell ref="P7:S7"/>
    <mergeCell ref="T7:W7"/>
    <mergeCell ref="AB7:AC8"/>
    <mergeCell ref="AD7:AG7"/>
    <mergeCell ref="AH7:AJ7"/>
    <mergeCell ref="X8:X12"/>
    <mergeCell ref="AK6:AL7"/>
    <mergeCell ref="U8:W8"/>
    <mergeCell ref="T8:T12"/>
    <mergeCell ref="AQ8:AQ12"/>
    <mergeCell ref="AR8:AR12"/>
    <mergeCell ref="AS8:AS12"/>
    <mergeCell ref="F8:F12"/>
    <mergeCell ref="G8:H8"/>
    <mergeCell ref="I8:I12"/>
    <mergeCell ref="J8:K8"/>
    <mergeCell ref="L8:L12"/>
    <mergeCell ref="M8:M12"/>
    <mergeCell ref="N8:N12"/>
    <mergeCell ref="O8:O12"/>
    <mergeCell ref="P8:P12"/>
    <mergeCell ref="Q8:S8"/>
    <mergeCell ref="AK8:AK12"/>
    <mergeCell ref="Z9:AA9"/>
    <mergeCell ref="AB9:AB12"/>
    <mergeCell ref="AC9:AC12"/>
    <mergeCell ref="AE9:AE12"/>
    <mergeCell ref="Y8:AA8"/>
    <mergeCell ref="AD8:AD12"/>
    <mergeCell ref="AE8:AG8"/>
    <mergeCell ref="AH8:AH12"/>
    <mergeCell ref="AI8:AJ8"/>
    <mergeCell ref="AO9:AP9"/>
    <mergeCell ref="AT9:AT12"/>
    <mergeCell ref="AP10:AP12"/>
    <mergeCell ref="AT8:AV8"/>
    <mergeCell ref="G9:G12"/>
    <mergeCell ref="H9:H12"/>
    <mergeCell ref="J9:J12"/>
    <mergeCell ref="K9:K12"/>
    <mergeCell ref="Q9:Q12"/>
    <mergeCell ref="R9:S9"/>
    <mergeCell ref="U9:U12"/>
    <mergeCell ref="V9:W9"/>
    <mergeCell ref="Y9:Y12"/>
    <mergeCell ref="AL8:AL12"/>
    <mergeCell ref="AM8:AM12"/>
    <mergeCell ref="AN8:AP8"/>
    <mergeCell ref="AU10:AU12"/>
    <mergeCell ref="AV10:AV12"/>
    <mergeCell ref="AU9:AV9"/>
    <mergeCell ref="R10:R12"/>
    <mergeCell ref="S10:S12"/>
    <mergeCell ref="V10:V12"/>
    <mergeCell ref="W10:W12"/>
    <mergeCell ref="Z10:Z12"/>
    <mergeCell ref="AA10:AA12"/>
    <mergeCell ref="AF10:AF12"/>
    <mergeCell ref="AG10:AG12"/>
    <mergeCell ref="AO10:AO12"/>
    <mergeCell ref="AF9:AG9"/>
    <mergeCell ref="AI9:AI12"/>
    <mergeCell ref="AJ9:AJ12"/>
    <mergeCell ref="AN9:AN12"/>
  </mergeCells>
  <pageMargins left="0.7" right="0.35" top="0.47" bottom="0.4" header="0.3" footer="0.26"/>
  <pageSetup paperSize="8" scale="57"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6</vt:i4>
      </vt:variant>
    </vt:vector>
  </HeadingPairs>
  <TitlesOfParts>
    <vt:vector size="9" baseType="lpstr">
      <vt:lpstr>2a.D.c NTM (16-20)</vt:lpstr>
      <vt:lpstr>2b. Dc 30a+275 (16-20)</vt:lpstr>
      <vt:lpstr>2c. Dc ct 135 (16-20) (2)</vt:lpstr>
      <vt:lpstr>'2a.D.c NTM (16-20)'!Print_Area</vt:lpstr>
      <vt:lpstr>'2b. Dc 30a+275 (16-20)'!Print_Area</vt:lpstr>
      <vt:lpstr>'2c. Dc ct 135 (16-20) (2)'!Print_Area</vt:lpstr>
      <vt:lpstr>'2a.D.c NTM (16-20)'!Print_Titles</vt:lpstr>
      <vt:lpstr>'2b. Dc 30a+275 (16-20)'!Print_Titles</vt:lpstr>
      <vt:lpstr>'2c. Dc ct 135 (16-20) (2)'!Print_Titles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SONGNGOC</dc:creator>
  <cp:lastModifiedBy>Windows User</cp:lastModifiedBy>
  <cp:lastPrinted>2019-11-30T00:30:08Z</cp:lastPrinted>
  <dcterms:created xsi:type="dcterms:W3CDTF">2019-04-16T08:26:46Z</dcterms:created>
  <dcterms:modified xsi:type="dcterms:W3CDTF">2019-11-30T14:16:58Z</dcterms:modified>
</cp:coreProperties>
</file>